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significantgroep.sharepoint.com/sites/StichtingKolom/Gedeelde documenten/3451 - aanbesteding schoonmaak/05. Aanbestedingsdocumenten/Bijlagen BD/"/>
    </mc:Choice>
  </mc:AlternateContent>
  <xr:revisionPtr revIDLastSave="0" documentId="8_{388094E5-6E08-4905-ACB9-D91B6CA22147}" xr6:coauthVersionLast="47" xr6:coauthVersionMax="47" xr10:uidLastSave="{00000000-0000-0000-0000-000000000000}"/>
  <bookViews>
    <workbookView xWindow="-110" yWindow="-110" windowWidth="19420" windowHeight="10300" tabRatio="812" activeTab="3" xr2:uid="{00000000-000D-0000-FFFF-FFFF00000000}"/>
  </bookViews>
  <sheets>
    <sheet name="Voorblad" sheetId="57" r:id="rId1"/>
    <sheet name="1.0-Contractblad" sheetId="31" r:id="rId2"/>
    <sheet name="1.2-Jaarprijzen" sheetId="28" r:id="rId3"/>
    <sheet name="1.3-Kengetal" sheetId="1" r:id="rId4"/>
    <sheet name="1.4-Basis ruimtestaat" sheetId="2" r:id="rId5"/>
    <sheet name="1.5-Opbouw uurtarieven" sheetId="55" r:id="rId6"/>
  </sheets>
  <externalReferences>
    <externalReference r:id="rId7"/>
    <externalReference r:id="rId8"/>
    <externalReference r:id="rId9"/>
  </externalReferences>
  <definedNames>
    <definedName name="_2F" localSheetId="5" hidden="1">[1]Blad1!#REF!</definedName>
    <definedName name="_2F" hidden="1">[2]Blad1!#REF!</definedName>
    <definedName name="_Dist_Bin" localSheetId="5" hidden="1">#REF!</definedName>
    <definedName name="_Dist_Bin" hidden="1">#REF!</definedName>
    <definedName name="_Dist_Values" localSheetId="5" hidden="1">#REF!</definedName>
    <definedName name="_Dist_Values" hidden="1">#REF!</definedName>
    <definedName name="_Fill" localSheetId="5" hidden="1">'[3]#REF'!#REF!</definedName>
    <definedName name="_Fill" hidden="1">'[3]#REF'!#REF!</definedName>
    <definedName name="_xlnm._FilterDatabase" localSheetId="2" hidden="1">'1.2-Jaarprijzen'!$A$11:$N$15</definedName>
    <definedName name="_xlnm._FilterDatabase" localSheetId="3" hidden="1">'1.3-Kengetal'!$C$12:$O$48</definedName>
    <definedName name="_xlnm._FilterDatabase" localSheetId="4" hidden="1">'1.4-Basis ruimtestaat'!$B$12:$AA$238</definedName>
    <definedName name="_Key1" localSheetId="5" hidden="1">'[3]#REF'!#REF!</definedName>
    <definedName name="_Key1" hidden="1">'[3]#REF'!#REF!</definedName>
    <definedName name="_Key2" localSheetId="5" hidden="1">#REF!</definedName>
    <definedName name="_Key2" hidden="1">#REF!</definedName>
    <definedName name="_Order1" hidden="1">255</definedName>
    <definedName name="_Order2" hidden="1">255</definedName>
    <definedName name="_Sort" localSheetId="5" hidden="1">#REF!</definedName>
    <definedName name="_Sort" hidden="1">#REF!</definedName>
    <definedName name="_Table1_In1" localSheetId="5" hidden="1">#REF!</definedName>
    <definedName name="_Table1_In1" hidden="1">#REF!</definedName>
    <definedName name="_Table1_Out" hidden="1">#REF!</definedName>
    <definedName name="_xlnm.Print_Area" localSheetId="1">'1.0-Contractblad'!$D$13:$K$80</definedName>
    <definedName name="_xlnm.Print_Area" localSheetId="2">'1.2-Jaarprijzen'!$B$51:$M$101</definedName>
    <definedName name="_xlnm.Print_Area" localSheetId="3">'1.3-Kengetal'!$B$4:$O$66</definedName>
    <definedName name="_xlnm.Print_Area" localSheetId="4">'1.4-Basis ruimtestaat'!#REF!</definedName>
    <definedName name="_xlnm.Print_Area" localSheetId="5">'1.5-Opbouw uurtarieven'!$B$1:$V$67</definedName>
    <definedName name="_xlnm.Print_Titles" localSheetId="1">'1.0-Contractblad'!$1:$14</definedName>
    <definedName name="_xlnm.Print_Titles" localSheetId="3">'1.3-Kengetal'!$1:$3</definedName>
    <definedName name="_xlnm.Print_Titles" localSheetId="4">'1.4-Basis ruimtestaat'!$E:$E,'1.4-Basis ruimtestaat'!$4:$12</definedName>
    <definedName name="Allelocaties">'1.4-Basis ruimtestaat'!$A:$T</definedName>
    <definedName name="BasisTarief" localSheetId="5">'1.5-Opbouw uurtarieven'!$N$16:$XFD$65</definedName>
    <definedName name="basistarieftoez">'1.5-Opbouw uurtarieven'!$S$16:$V$65</definedName>
    <definedName name="basistariefuit">'1.5-Opbouw uurtarieven'!$M$16:$P$65</definedName>
    <definedName name="CatMedewschoonmaak" localSheetId="5">'1.5-Opbouw uurtarieven'!$I$16:$V$16</definedName>
    <definedName name="Dataase3">#REF!</definedName>
    <definedName name="_xlnm.Database">'1.4-Basis ruimtestaat'!$D$12:$Z$13</definedName>
    <definedName name="database2">'1.4-Basis ruimtestaat'!$C$12:$Z$13</definedName>
    <definedName name="han" localSheetId="5" hidden="1">'[3]#REF'!#REF!</definedName>
    <definedName name="han" hidden="1">'[3]#REF'!#REF!</definedName>
    <definedName name="HTML_CodePage" hidden="1">1252</definedName>
    <definedName name="HTML_Control" localSheetId="1" hidden="1">{"'ma_vr'!$A$1:$AA$42"}</definedName>
    <definedName name="HTML_Control" localSheetId="5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etal">'1.3-Kengetal'!$C$13:$P$49</definedName>
    <definedName name="LOCATIE">'1.4-Basis ruimtestaat'!$E:$R</definedName>
    <definedName name="Loongroepen" localSheetId="5">'1.5-Opbouw uurtarieven'!$B$16:$B$31</definedName>
    <definedName name="Meters">'1.4-Basis ruimtestaat'!$K:$K</definedName>
    <definedName name="Perceel">'1.4-Basis ruimtestaat'!$F:$U</definedName>
    <definedName name="PERCEEL2">'1.4-Basis ruimtestaat'!$A:$U</definedName>
    <definedName name="q" localSheetId="5" hidden="1">[1]Blad1!#REF!</definedName>
    <definedName name="q" hidden="1">[2]Blad1!#REF!</definedName>
    <definedName name="Tabel" localSheetId="5">'1.5-Opbouw uurtarieven'!$O$5:$P$7</definedName>
    <definedName name="TariefGLAS">'1.5-Opbouw uurtarieven'!$Z$17:$Z$17</definedName>
    <definedName name="tariefschoonmaak" localSheetId="5">'1.5-Opbouw uurtarieven'!$M$16:$Z$16</definedName>
    <definedName name="tariefSMO">'1.5-Opbouw uurtarieven'!$M$16:$P$16</definedName>
    <definedName name="tarieftoez">#REF!</definedName>
    <definedName name="tariefTZ">'1.5-Opbouw uurtarieven'!$S$16:$V$16</definedName>
    <definedName name="tariefuit">#REF!</definedName>
    <definedName name="tarievenglas">'1.5-Opbouw uurtarieven'!$Z$17:$Z$65</definedName>
    <definedName name="Totaal">'1.4-Basis ruimtestaat'!$A$12:$T$13</definedName>
    <definedName name="Totaal2">'1.4-Basis ruimtestaat'!$E$12:$T$13</definedName>
    <definedName name="UREMAVR">'1.4-Basis ruimtestaat'!$R$12:$R$13</definedName>
    <definedName name="URENEWEEKEND">'1.4-Basis ruimtestaat'!$T$12:$T$13</definedName>
    <definedName name="URENNALOOP">'1.4-Basis ruimtestaat'!$S$12:$S$13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F10" i="55"/>
  <c r="F9" i="55"/>
  <c r="F7" i="55"/>
  <c r="F6" i="55"/>
  <c r="F5" i="55"/>
  <c r="G10" i="2"/>
  <c r="G9" i="2"/>
  <c r="G7" i="2"/>
  <c r="G6" i="2"/>
  <c r="G5" i="2"/>
  <c r="F10" i="1"/>
  <c r="F9" i="1"/>
  <c r="F7" i="1"/>
  <c r="F6" i="1"/>
  <c r="F5" i="1"/>
  <c r="C9" i="28"/>
  <c r="C8" i="28"/>
  <c r="C6" i="28"/>
  <c r="C5" i="28"/>
  <c r="C4" i="28"/>
  <c r="E7" i="31"/>
  <c r="E11" i="31"/>
  <c r="E10" i="31"/>
  <c r="E8" i="31"/>
  <c r="E6" i="31"/>
  <c r="E27" i="57"/>
  <c r="E9" i="31" s="1"/>
  <c r="F8" i="55" l="1"/>
  <c r="G8" i="2"/>
  <c r="F8" i="1"/>
  <c r="C7" i="28"/>
  <c r="T42" i="55" l="1"/>
  <c r="O42" i="55"/>
  <c r="O41" i="55"/>
  <c r="L46" i="1" l="1"/>
  <c r="L47" i="1"/>
  <c r="M47" i="1" s="1"/>
  <c r="L48" i="1"/>
  <c r="M48" i="1" s="1"/>
  <c r="L45" i="1"/>
  <c r="M45" i="1" s="1"/>
  <c r="I231" i="2"/>
  <c r="O231" i="2"/>
  <c r="U231" i="2"/>
  <c r="R231" i="2" s="1"/>
  <c r="V231" i="2"/>
  <c r="S231" i="2" s="1"/>
  <c r="W231" i="2"/>
  <c r="T231" i="2" s="1"/>
  <c r="X231" i="2"/>
  <c r="I232" i="2"/>
  <c r="O232" i="2"/>
  <c r="U232" i="2"/>
  <c r="R232" i="2" s="1"/>
  <c r="V232" i="2"/>
  <c r="S232" i="2" s="1"/>
  <c r="W232" i="2"/>
  <c r="T232" i="2" s="1"/>
  <c r="X232" i="2"/>
  <c r="I233" i="2"/>
  <c r="O233" i="2"/>
  <c r="V233" i="2"/>
  <c r="S233" i="2" s="1"/>
  <c r="W233" i="2"/>
  <c r="T233" i="2" s="1"/>
  <c r="X233" i="2"/>
  <c r="I234" i="2"/>
  <c r="O234" i="2"/>
  <c r="V234" i="2"/>
  <c r="S234" i="2" s="1"/>
  <c r="W234" i="2"/>
  <c r="T234" i="2" s="1"/>
  <c r="X234" i="2"/>
  <c r="I235" i="2"/>
  <c r="O235" i="2"/>
  <c r="V235" i="2"/>
  <c r="S235" i="2" s="1"/>
  <c r="W235" i="2"/>
  <c r="T235" i="2" s="1"/>
  <c r="X235" i="2"/>
  <c r="I236" i="2"/>
  <c r="O236" i="2"/>
  <c r="V236" i="2"/>
  <c r="S236" i="2" s="1"/>
  <c r="W236" i="2"/>
  <c r="T236" i="2" s="1"/>
  <c r="X236" i="2"/>
  <c r="I237" i="2"/>
  <c r="O237" i="2"/>
  <c r="U237" i="2"/>
  <c r="R237" i="2" s="1"/>
  <c r="V237" i="2"/>
  <c r="S237" i="2" s="1"/>
  <c r="W237" i="2"/>
  <c r="T237" i="2" s="1"/>
  <c r="X237" i="2"/>
  <c r="I238" i="2"/>
  <c r="O238" i="2"/>
  <c r="U238" i="2"/>
  <c r="R238" i="2" s="1"/>
  <c r="V238" i="2"/>
  <c r="S238" i="2" s="1"/>
  <c r="W238" i="2"/>
  <c r="T238" i="2" s="1"/>
  <c r="X238" i="2"/>
  <c r="I239" i="2"/>
  <c r="O239" i="2"/>
  <c r="V239" i="2"/>
  <c r="S239" i="2" s="1"/>
  <c r="W239" i="2"/>
  <c r="T239" i="2" s="1"/>
  <c r="X239" i="2"/>
  <c r="I240" i="2"/>
  <c r="O240" i="2"/>
  <c r="V240" i="2"/>
  <c r="S240" i="2" s="1"/>
  <c r="W240" i="2"/>
  <c r="T240" i="2" s="1"/>
  <c r="X240" i="2"/>
  <c r="I241" i="2"/>
  <c r="O241" i="2"/>
  <c r="U241" i="2"/>
  <c r="R241" i="2" s="1"/>
  <c r="V241" i="2"/>
  <c r="S241" i="2" s="1"/>
  <c r="W241" i="2"/>
  <c r="T241" i="2" s="1"/>
  <c r="X241" i="2"/>
  <c r="I242" i="2"/>
  <c r="O242" i="2"/>
  <c r="U242" i="2"/>
  <c r="R242" i="2" s="1"/>
  <c r="V242" i="2"/>
  <c r="S242" i="2" s="1"/>
  <c r="W242" i="2"/>
  <c r="T242" i="2" s="1"/>
  <c r="X242" i="2"/>
  <c r="I243" i="2"/>
  <c r="O243" i="2"/>
  <c r="U243" i="2"/>
  <c r="R243" i="2" s="1"/>
  <c r="V243" i="2"/>
  <c r="S243" i="2" s="1"/>
  <c r="W243" i="2"/>
  <c r="T243" i="2" s="1"/>
  <c r="X243" i="2"/>
  <c r="I244" i="2"/>
  <c r="O244" i="2"/>
  <c r="U244" i="2"/>
  <c r="R244" i="2" s="1"/>
  <c r="V244" i="2"/>
  <c r="S244" i="2" s="1"/>
  <c r="W244" i="2"/>
  <c r="T244" i="2" s="1"/>
  <c r="X244" i="2"/>
  <c r="I245" i="2"/>
  <c r="O245" i="2"/>
  <c r="U245" i="2"/>
  <c r="R245" i="2" s="1"/>
  <c r="V245" i="2"/>
  <c r="S245" i="2" s="1"/>
  <c r="W245" i="2"/>
  <c r="T245" i="2" s="1"/>
  <c r="X245" i="2"/>
  <c r="I246" i="2"/>
  <c r="O246" i="2"/>
  <c r="U246" i="2"/>
  <c r="R246" i="2" s="1"/>
  <c r="V246" i="2"/>
  <c r="S246" i="2" s="1"/>
  <c r="W246" i="2"/>
  <c r="T246" i="2" s="1"/>
  <c r="X246" i="2"/>
  <c r="I247" i="2"/>
  <c r="O247" i="2"/>
  <c r="V247" i="2"/>
  <c r="S247" i="2" s="1"/>
  <c r="W247" i="2"/>
  <c r="T247" i="2" s="1"/>
  <c r="X247" i="2"/>
  <c r="I248" i="2"/>
  <c r="O248" i="2"/>
  <c r="V248" i="2"/>
  <c r="S248" i="2" s="1"/>
  <c r="W248" i="2"/>
  <c r="T248" i="2" s="1"/>
  <c r="X248" i="2"/>
  <c r="I249" i="2"/>
  <c r="O249" i="2"/>
  <c r="U249" i="2"/>
  <c r="R249" i="2" s="1"/>
  <c r="V249" i="2"/>
  <c r="S249" i="2" s="1"/>
  <c r="W249" i="2"/>
  <c r="T249" i="2" s="1"/>
  <c r="X249" i="2"/>
  <c r="I250" i="2"/>
  <c r="O250" i="2"/>
  <c r="V250" i="2"/>
  <c r="S250" i="2" s="1"/>
  <c r="W250" i="2"/>
  <c r="T250" i="2" s="1"/>
  <c r="X250" i="2"/>
  <c r="I251" i="2"/>
  <c r="O251" i="2"/>
  <c r="U251" i="2"/>
  <c r="R251" i="2" s="1"/>
  <c r="V251" i="2"/>
  <c r="S251" i="2" s="1"/>
  <c r="W251" i="2"/>
  <c r="T251" i="2" s="1"/>
  <c r="X251" i="2"/>
  <c r="I252" i="2"/>
  <c r="O252" i="2"/>
  <c r="V252" i="2"/>
  <c r="S252" i="2" s="1"/>
  <c r="W252" i="2"/>
  <c r="T252" i="2" s="1"/>
  <c r="X252" i="2"/>
  <c r="I253" i="2"/>
  <c r="O253" i="2"/>
  <c r="V253" i="2"/>
  <c r="S253" i="2" s="1"/>
  <c r="W253" i="2"/>
  <c r="T253" i="2" s="1"/>
  <c r="X253" i="2"/>
  <c r="I254" i="2"/>
  <c r="O254" i="2"/>
  <c r="V254" i="2"/>
  <c r="S254" i="2" s="1"/>
  <c r="W254" i="2"/>
  <c r="T254" i="2" s="1"/>
  <c r="X254" i="2"/>
  <c r="I255" i="2"/>
  <c r="O255" i="2"/>
  <c r="U255" i="2"/>
  <c r="R255" i="2" s="1"/>
  <c r="V255" i="2"/>
  <c r="S255" i="2" s="1"/>
  <c r="W255" i="2"/>
  <c r="T255" i="2" s="1"/>
  <c r="X255" i="2"/>
  <c r="I256" i="2"/>
  <c r="O256" i="2"/>
  <c r="U256" i="2"/>
  <c r="R256" i="2" s="1"/>
  <c r="V256" i="2"/>
  <c r="S256" i="2" s="1"/>
  <c r="W256" i="2"/>
  <c r="T256" i="2" s="1"/>
  <c r="X256" i="2"/>
  <c r="I257" i="2"/>
  <c r="O257" i="2"/>
  <c r="V257" i="2"/>
  <c r="S257" i="2" s="1"/>
  <c r="W257" i="2"/>
  <c r="T257" i="2" s="1"/>
  <c r="X257" i="2"/>
  <c r="I258" i="2"/>
  <c r="O258" i="2"/>
  <c r="V258" i="2"/>
  <c r="S258" i="2" s="1"/>
  <c r="W258" i="2"/>
  <c r="T258" i="2" s="1"/>
  <c r="X258" i="2"/>
  <c r="I259" i="2"/>
  <c r="O259" i="2"/>
  <c r="U259" i="2"/>
  <c r="R259" i="2" s="1"/>
  <c r="V259" i="2"/>
  <c r="S259" i="2" s="1"/>
  <c r="W259" i="2"/>
  <c r="T259" i="2" s="1"/>
  <c r="X259" i="2"/>
  <c r="I260" i="2"/>
  <c r="O260" i="2"/>
  <c r="U260" i="2"/>
  <c r="R260" i="2" s="1"/>
  <c r="V260" i="2"/>
  <c r="S260" i="2" s="1"/>
  <c r="W260" i="2"/>
  <c r="T260" i="2" s="1"/>
  <c r="X260" i="2"/>
  <c r="I261" i="2"/>
  <c r="O261" i="2"/>
  <c r="U261" i="2"/>
  <c r="R261" i="2" s="1"/>
  <c r="V261" i="2"/>
  <c r="S261" i="2" s="1"/>
  <c r="W261" i="2"/>
  <c r="T261" i="2" s="1"/>
  <c r="X261" i="2"/>
  <c r="I262" i="2"/>
  <c r="O262" i="2"/>
  <c r="U262" i="2"/>
  <c r="R262" i="2" s="1"/>
  <c r="V262" i="2"/>
  <c r="S262" i="2" s="1"/>
  <c r="W262" i="2"/>
  <c r="T262" i="2" s="1"/>
  <c r="X262" i="2"/>
  <c r="I263" i="2"/>
  <c r="O263" i="2"/>
  <c r="V263" i="2"/>
  <c r="S263" i="2" s="1"/>
  <c r="W263" i="2"/>
  <c r="T263" i="2" s="1"/>
  <c r="X263" i="2"/>
  <c r="I264" i="2"/>
  <c r="O264" i="2"/>
  <c r="U264" i="2"/>
  <c r="R264" i="2" s="1"/>
  <c r="V264" i="2"/>
  <c r="S264" i="2" s="1"/>
  <c r="W264" i="2"/>
  <c r="T264" i="2" s="1"/>
  <c r="X264" i="2"/>
  <c r="I265" i="2"/>
  <c r="O265" i="2"/>
  <c r="U265" i="2"/>
  <c r="R265" i="2" s="1"/>
  <c r="V265" i="2"/>
  <c r="S265" i="2" s="1"/>
  <c r="W265" i="2"/>
  <c r="T265" i="2" s="1"/>
  <c r="X265" i="2"/>
  <c r="I266" i="2"/>
  <c r="O266" i="2"/>
  <c r="V266" i="2"/>
  <c r="S266" i="2" s="1"/>
  <c r="W266" i="2"/>
  <c r="T266" i="2" s="1"/>
  <c r="X266" i="2"/>
  <c r="I267" i="2"/>
  <c r="O267" i="2"/>
  <c r="U267" i="2"/>
  <c r="R267" i="2" s="1"/>
  <c r="V267" i="2"/>
  <c r="S267" i="2" s="1"/>
  <c r="W267" i="2"/>
  <c r="T267" i="2" s="1"/>
  <c r="X267" i="2"/>
  <c r="I268" i="2"/>
  <c r="O268" i="2"/>
  <c r="V268" i="2"/>
  <c r="S268" i="2" s="1"/>
  <c r="W268" i="2"/>
  <c r="T268" i="2" s="1"/>
  <c r="X268" i="2"/>
  <c r="I269" i="2"/>
  <c r="O269" i="2"/>
  <c r="V269" i="2"/>
  <c r="S269" i="2" s="1"/>
  <c r="W269" i="2"/>
  <c r="T269" i="2" s="1"/>
  <c r="X269" i="2"/>
  <c r="I270" i="2"/>
  <c r="O270" i="2"/>
  <c r="V270" i="2"/>
  <c r="S270" i="2" s="1"/>
  <c r="W270" i="2"/>
  <c r="T270" i="2" s="1"/>
  <c r="X270" i="2"/>
  <c r="I271" i="2"/>
  <c r="O271" i="2"/>
  <c r="V271" i="2"/>
  <c r="S271" i="2" s="1"/>
  <c r="W271" i="2"/>
  <c r="T271" i="2" s="1"/>
  <c r="X271" i="2"/>
  <c r="I272" i="2"/>
  <c r="O272" i="2"/>
  <c r="U272" i="2"/>
  <c r="R272" i="2" s="1"/>
  <c r="V272" i="2"/>
  <c r="S272" i="2" s="1"/>
  <c r="W272" i="2"/>
  <c r="T272" i="2" s="1"/>
  <c r="X272" i="2"/>
  <c r="I273" i="2"/>
  <c r="O273" i="2"/>
  <c r="V273" i="2"/>
  <c r="S273" i="2" s="1"/>
  <c r="W273" i="2"/>
  <c r="T273" i="2" s="1"/>
  <c r="X273" i="2"/>
  <c r="I274" i="2"/>
  <c r="O274" i="2"/>
  <c r="V274" i="2"/>
  <c r="S274" i="2" s="1"/>
  <c r="W274" i="2"/>
  <c r="T274" i="2" s="1"/>
  <c r="X274" i="2"/>
  <c r="I275" i="2"/>
  <c r="O275" i="2"/>
  <c r="U275" i="2"/>
  <c r="R275" i="2" s="1"/>
  <c r="V275" i="2"/>
  <c r="S275" i="2" s="1"/>
  <c r="W275" i="2"/>
  <c r="T275" i="2" s="1"/>
  <c r="X275" i="2"/>
  <c r="I276" i="2"/>
  <c r="O276" i="2"/>
  <c r="U276" i="2"/>
  <c r="R276" i="2" s="1"/>
  <c r="V276" i="2"/>
  <c r="S276" i="2" s="1"/>
  <c r="W276" i="2"/>
  <c r="T276" i="2" s="1"/>
  <c r="X276" i="2"/>
  <c r="I277" i="2"/>
  <c r="O277" i="2"/>
  <c r="U277" i="2"/>
  <c r="R277" i="2" s="1"/>
  <c r="V277" i="2"/>
  <c r="S277" i="2" s="1"/>
  <c r="W277" i="2"/>
  <c r="T277" i="2" s="1"/>
  <c r="X277" i="2"/>
  <c r="I278" i="2"/>
  <c r="O278" i="2"/>
  <c r="U278" i="2"/>
  <c r="R278" i="2" s="1"/>
  <c r="V278" i="2"/>
  <c r="S278" i="2" s="1"/>
  <c r="W278" i="2"/>
  <c r="T278" i="2" s="1"/>
  <c r="X278" i="2"/>
  <c r="I279" i="2"/>
  <c r="O279" i="2"/>
  <c r="V279" i="2"/>
  <c r="S279" i="2" s="1"/>
  <c r="W279" i="2"/>
  <c r="T279" i="2" s="1"/>
  <c r="X279" i="2"/>
  <c r="I280" i="2"/>
  <c r="O280" i="2"/>
  <c r="U280" i="2"/>
  <c r="R280" i="2" s="1"/>
  <c r="V280" i="2"/>
  <c r="S280" i="2" s="1"/>
  <c r="W280" i="2"/>
  <c r="T280" i="2" s="1"/>
  <c r="X280" i="2"/>
  <c r="I281" i="2"/>
  <c r="O281" i="2"/>
  <c r="V281" i="2"/>
  <c r="S281" i="2" s="1"/>
  <c r="W281" i="2"/>
  <c r="T281" i="2" s="1"/>
  <c r="X281" i="2"/>
  <c r="I282" i="2"/>
  <c r="O282" i="2"/>
  <c r="U282" i="2"/>
  <c r="R282" i="2" s="1"/>
  <c r="V282" i="2"/>
  <c r="S282" i="2" s="1"/>
  <c r="W282" i="2"/>
  <c r="T282" i="2" s="1"/>
  <c r="X282" i="2"/>
  <c r="I283" i="2"/>
  <c r="O283" i="2"/>
  <c r="V283" i="2"/>
  <c r="S283" i="2" s="1"/>
  <c r="W283" i="2"/>
  <c r="T283" i="2" s="1"/>
  <c r="X283" i="2"/>
  <c r="I284" i="2"/>
  <c r="O284" i="2"/>
  <c r="U284" i="2"/>
  <c r="R284" i="2" s="1"/>
  <c r="V284" i="2"/>
  <c r="S284" i="2" s="1"/>
  <c r="W284" i="2"/>
  <c r="T284" i="2" s="1"/>
  <c r="X284" i="2"/>
  <c r="I285" i="2"/>
  <c r="O285" i="2"/>
  <c r="V285" i="2"/>
  <c r="S285" i="2" s="1"/>
  <c r="W285" i="2"/>
  <c r="T285" i="2" s="1"/>
  <c r="X285" i="2"/>
  <c r="I286" i="2"/>
  <c r="O286" i="2"/>
  <c r="U286" i="2"/>
  <c r="R286" i="2" s="1"/>
  <c r="V286" i="2"/>
  <c r="S286" i="2" s="1"/>
  <c r="W286" i="2"/>
  <c r="T286" i="2" s="1"/>
  <c r="X286" i="2"/>
  <c r="I287" i="2"/>
  <c r="O287" i="2"/>
  <c r="U287" i="2"/>
  <c r="R287" i="2" s="1"/>
  <c r="V287" i="2"/>
  <c r="S287" i="2" s="1"/>
  <c r="W287" i="2"/>
  <c r="T287" i="2" s="1"/>
  <c r="X287" i="2"/>
  <c r="I288" i="2"/>
  <c r="O288" i="2"/>
  <c r="U288" i="2"/>
  <c r="R288" i="2" s="1"/>
  <c r="V288" i="2"/>
  <c r="S288" i="2" s="1"/>
  <c r="W288" i="2"/>
  <c r="T288" i="2" s="1"/>
  <c r="X288" i="2"/>
  <c r="I289" i="2"/>
  <c r="O289" i="2"/>
  <c r="V289" i="2"/>
  <c r="S289" i="2" s="1"/>
  <c r="W289" i="2"/>
  <c r="T289" i="2" s="1"/>
  <c r="X289" i="2"/>
  <c r="I290" i="2"/>
  <c r="O290" i="2"/>
  <c r="U290" i="2"/>
  <c r="R290" i="2" s="1"/>
  <c r="V290" i="2"/>
  <c r="S290" i="2" s="1"/>
  <c r="W290" i="2"/>
  <c r="T290" i="2" s="1"/>
  <c r="X290" i="2"/>
  <c r="I291" i="2"/>
  <c r="O291" i="2"/>
  <c r="U291" i="2"/>
  <c r="R291" i="2" s="1"/>
  <c r="V291" i="2"/>
  <c r="S291" i="2" s="1"/>
  <c r="W291" i="2"/>
  <c r="T291" i="2" s="1"/>
  <c r="X291" i="2"/>
  <c r="I292" i="2"/>
  <c r="O292" i="2"/>
  <c r="U292" i="2"/>
  <c r="R292" i="2" s="1"/>
  <c r="V292" i="2"/>
  <c r="S292" i="2" s="1"/>
  <c r="W292" i="2"/>
  <c r="T292" i="2" s="1"/>
  <c r="X292" i="2"/>
  <c r="I293" i="2"/>
  <c r="O293" i="2"/>
  <c r="U293" i="2"/>
  <c r="R293" i="2" s="1"/>
  <c r="V293" i="2"/>
  <c r="S293" i="2" s="1"/>
  <c r="W293" i="2"/>
  <c r="T293" i="2" s="1"/>
  <c r="X293" i="2"/>
  <c r="I294" i="2"/>
  <c r="O294" i="2"/>
  <c r="U294" i="2"/>
  <c r="R294" i="2" s="1"/>
  <c r="V294" i="2"/>
  <c r="S294" i="2" s="1"/>
  <c r="W294" i="2"/>
  <c r="T294" i="2" s="1"/>
  <c r="X294" i="2"/>
  <c r="I295" i="2"/>
  <c r="O295" i="2"/>
  <c r="V295" i="2"/>
  <c r="S295" i="2" s="1"/>
  <c r="W295" i="2"/>
  <c r="T295" i="2" s="1"/>
  <c r="X295" i="2"/>
  <c r="I296" i="2"/>
  <c r="O296" i="2"/>
  <c r="V296" i="2"/>
  <c r="S296" i="2" s="1"/>
  <c r="W296" i="2"/>
  <c r="T296" i="2" s="1"/>
  <c r="X296" i="2"/>
  <c r="I297" i="2"/>
  <c r="O297" i="2"/>
  <c r="V297" i="2"/>
  <c r="S297" i="2" s="1"/>
  <c r="W297" i="2"/>
  <c r="T297" i="2" s="1"/>
  <c r="X297" i="2"/>
  <c r="I298" i="2"/>
  <c r="O298" i="2"/>
  <c r="U298" i="2"/>
  <c r="R298" i="2" s="1"/>
  <c r="V298" i="2"/>
  <c r="S298" i="2" s="1"/>
  <c r="W298" i="2"/>
  <c r="T298" i="2" s="1"/>
  <c r="X298" i="2"/>
  <c r="I299" i="2"/>
  <c r="O299" i="2"/>
  <c r="V299" i="2"/>
  <c r="S299" i="2" s="1"/>
  <c r="W299" i="2"/>
  <c r="T299" i="2" s="1"/>
  <c r="X299" i="2"/>
  <c r="I300" i="2"/>
  <c r="O300" i="2"/>
  <c r="V300" i="2"/>
  <c r="S300" i="2" s="1"/>
  <c r="W300" i="2"/>
  <c r="T300" i="2" s="1"/>
  <c r="X300" i="2"/>
  <c r="I301" i="2"/>
  <c r="O301" i="2"/>
  <c r="V301" i="2"/>
  <c r="S301" i="2" s="1"/>
  <c r="W301" i="2"/>
  <c r="T301" i="2" s="1"/>
  <c r="X301" i="2"/>
  <c r="I302" i="2"/>
  <c r="O302" i="2"/>
  <c r="U302" i="2"/>
  <c r="R302" i="2" s="1"/>
  <c r="V302" i="2"/>
  <c r="S302" i="2" s="1"/>
  <c r="W302" i="2"/>
  <c r="T302" i="2" s="1"/>
  <c r="X302" i="2"/>
  <c r="I303" i="2"/>
  <c r="O303" i="2"/>
  <c r="V303" i="2"/>
  <c r="S303" i="2" s="1"/>
  <c r="W303" i="2"/>
  <c r="T303" i="2" s="1"/>
  <c r="X303" i="2"/>
  <c r="I304" i="2"/>
  <c r="O304" i="2"/>
  <c r="U304" i="2"/>
  <c r="R304" i="2" s="1"/>
  <c r="V304" i="2"/>
  <c r="S304" i="2" s="1"/>
  <c r="W304" i="2"/>
  <c r="T304" i="2" s="1"/>
  <c r="X304" i="2"/>
  <c r="I305" i="2"/>
  <c r="O305" i="2"/>
  <c r="V305" i="2"/>
  <c r="S305" i="2" s="1"/>
  <c r="W305" i="2"/>
  <c r="T305" i="2" s="1"/>
  <c r="X305" i="2"/>
  <c r="I306" i="2"/>
  <c r="O306" i="2"/>
  <c r="V306" i="2"/>
  <c r="S306" i="2" s="1"/>
  <c r="W306" i="2"/>
  <c r="T306" i="2" s="1"/>
  <c r="X306" i="2"/>
  <c r="I307" i="2"/>
  <c r="O307" i="2"/>
  <c r="U307" i="2"/>
  <c r="R307" i="2" s="1"/>
  <c r="V307" i="2"/>
  <c r="S307" i="2" s="1"/>
  <c r="W307" i="2"/>
  <c r="T307" i="2" s="1"/>
  <c r="X307" i="2"/>
  <c r="I308" i="2"/>
  <c r="O308" i="2"/>
  <c r="U308" i="2"/>
  <c r="R308" i="2" s="1"/>
  <c r="V308" i="2"/>
  <c r="S308" i="2" s="1"/>
  <c r="W308" i="2"/>
  <c r="T308" i="2" s="1"/>
  <c r="X308" i="2"/>
  <c r="I309" i="2"/>
  <c r="O309" i="2"/>
  <c r="U309" i="2"/>
  <c r="R309" i="2" s="1"/>
  <c r="V309" i="2"/>
  <c r="S309" i="2" s="1"/>
  <c r="W309" i="2"/>
  <c r="T309" i="2" s="1"/>
  <c r="X309" i="2"/>
  <c r="I310" i="2"/>
  <c r="O310" i="2"/>
  <c r="V310" i="2"/>
  <c r="S310" i="2" s="1"/>
  <c r="W310" i="2"/>
  <c r="T310" i="2" s="1"/>
  <c r="X310" i="2"/>
  <c r="I311" i="2"/>
  <c r="O311" i="2"/>
  <c r="V311" i="2"/>
  <c r="S311" i="2" s="1"/>
  <c r="W311" i="2"/>
  <c r="T311" i="2" s="1"/>
  <c r="X311" i="2"/>
  <c r="I312" i="2"/>
  <c r="O312" i="2"/>
  <c r="U312" i="2"/>
  <c r="R312" i="2" s="1"/>
  <c r="V312" i="2"/>
  <c r="S312" i="2" s="1"/>
  <c r="W312" i="2"/>
  <c r="T312" i="2" s="1"/>
  <c r="X312" i="2"/>
  <c r="I313" i="2"/>
  <c r="O313" i="2"/>
  <c r="U313" i="2"/>
  <c r="R313" i="2" s="1"/>
  <c r="V313" i="2"/>
  <c r="S313" i="2" s="1"/>
  <c r="W313" i="2"/>
  <c r="T313" i="2" s="1"/>
  <c r="X313" i="2"/>
  <c r="I314" i="2"/>
  <c r="O314" i="2"/>
  <c r="V314" i="2"/>
  <c r="S314" i="2" s="1"/>
  <c r="W314" i="2"/>
  <c r="T314" i="2" s="1"/>
  <c r="X314" i="2"/>
  <c r="I315" i="2"/>
  <c r="O315" i="2"/>
  <c r="V315" i="2"/>
  <c r="S315" i="2" s="1"/>
  <c r="W315" i="2"/>
  <c r="T315" i="2" s="1"/>
  <c r="X315" i="2"/>
  <c r="I316" i="2"/>
  <c r="O316" i="2"/>
  <c r="U316" i="2"/>
  <c r="R316" i="2" s="1"/>
  <c r="V316" i="2"/>
  <c r="S316" i="2" s="1"/>
  <c r="W316" i="2"/>
  <c r="T316" i="2" s="1"/>
  <c r="X316" i="2"/>
  <c r="I317" i="2"/>
  <c r="O317" i="2"/>
  <c r="V317" i="2"/>
  <c r="S317" i="2" s="1"/>
  <c r="W317" i="2"/>
  <c r="T317" i="2" s="1"/>
  <c r="X317" i="2"/>
  <c r="I318" i="2"/>
  <c r="O318" i="2"/>
  <c r="U318" i="2"/>
  <c r="R318" i="2" s="1"/>
  <c r="V318" i="2"/>
  <c r="S318" i="2" s="1"/>
  <c r="W318" i="2"/>
  <c r="T318" i="2" s="1"/>
  <c r="X318" i="2"/>
  <c r="I319" i="2"/>
  <c r="O319" i="2"/>
  <c r="U319" i="2"/>
  <c r="R319" i="2" s="1"/>
  <c r="V319" i="2"/>
  <c r="S319" i="2" s="1"/>
  <c r="W319" i="2"/>
  <c r="T319" i="2" s="1"/>
  <c r="X319" i="2"/>
  <c r="I320" i="2"/>
  <c r="O320" i="2"/>
  <c r="V320" i="2"/>
  <c r="S320" i="2" s="1"/>
  <c r="W320" i="2"/>
  <c r="T320" i="2" s="1"/>
  <c r="X320" i="2"/>
  <c r="I321" i="2"/>
  <c r="O321" i="2"/>
  <c r="U321" i="2"/>
  <c r="R321" i="2" s="1"/>
  <c r="V321" i="2"/>
  <c r="S321" i="2" s="1"/>
  <c r="W321" i="2"/>
  <c r="T321" i="2" s="1"/>
  <c r="X321" i="2"/>
  <c r="I322" i="2"/>
  <c r="O322" i="2"/>
  <c r="V322" i="2"/>
  <c r="S322" i="2" s="1"/>
  <c r="W322" i="2"/>
  <c r="T322" i="2" s="1"/>
  <c r="X322" i="2"/>
  <c r="I323" i="2"/>
  <c r="O323" i="2"/>
  <c r="V323" i="2"/>
  <c r="S323" i="2" s="1"/>
  <c r="W323" i="2"/>
  <c r="T323" i="2" s="1"/>
  <c r="X323" i="2"/>
  <c r="I324" i="2"/>
  <c r="O324" i="2"/>
  <c r="U324" i="2"/>
  <c r="R324" i="2" s="1"/>
  <c r="V324" i="2"/>
  <c r="S324" i="2" s="1"/>
  <c r="W324" i="2"/>
  <c r="T324" i="2" s="1"/>
  <c r="X324" i="2"/>
  <c r="I325" i="2"/>
  <c r="O325" i="2"/>
  <c r="V325" i="2"/>
  <c r="S325" i="2" s="1"/>
  <c r="W325" i="2"/>
  <c r="T325" i="2" s="1"/>
  <c r="X325" i="2"/>
  <c r="I326" i="2"/>
  <c r="O326" i="2"/>
  <c r="V326" i="2"/>
  <c r="S326" i="2" s="1"/>
  <c r="W326" i="2"/>
  <c r="T326" i="2" s="1"/>
  <c r="X326" i="2"/>
  <c r="I327" i="2"/>
  <c r="O327" i="2"/>
  <c r="U327" i="2"/>
  <c r="R327" i="2" s="1"/>
  <c r="V327" i="2"/>
  <c r="S327" i="2" s="1"/>
  <c r="W327" i="2"/>
  <c r="T327" i="2" s="1"/>
  <c r="X327" i="2"/>
  <c r="I328" i="2"/>
  <c r="O328" i="2"/>
  <c r="U328" i="2"/>
  <c r="R328" i="2" s="1"/>
  <c r="V328" i="2"/>
  <c r="S328" i="2" s="1"/>
  <c r="W328" i="2"/>
  <c r="T328" i="2" s="1"/>
  <c r="X328" i="2"/>
  <c r="I329" i="2"/>
  <c r="O329" i="2"/>
  <c r="U329" i="2"/>
  <c r="R329" i="2" s="1"/>
  <c r="V329" i="2"/>
  <c r="S329" i="2" s="1"/>
  <c r="W329" i="2"/>
  <c r="T329" i="2" s="1"/>
  <c r="X329" i="2"/>
  <c r="I330" i="2"/>
  <c r="O330" i="2"/>
  <c r="U330" i="2"/>
  <c r="R330" i="2" s="1"/>
  <c r="V330" i="2"/>
  <c r="S330" i="2" s="1"/>
  <c r="W330" i="2"/>
  <c r="T330" i="2" s="1"/>
  <c r="X330" i="2"/>
  <c r="I331" i="2"/>
  <c r="O331" i="2"/>
  <c r="V331" i="2"/>
  <c r="S331" i="2" s="1"/>
  <c r="W331" i="2"/>
  <c r="T331" i="2" s="1"/>
  <c r="X331" i="2"/>
  <c r="I332" i="2"/>
  <c r="O332" i="2"/>
  <c r="V332" i="2"/>
  <c r="S332" i="2" s="1"/>
  <c r="W332" i="2"/>
  <c r="T332" i="2" s="1"/>
  <c r="X332" i="2"/>
  <c r="I333" i="2"/>
  <c r="O333" i="2"/>
  <c r="U333" i="2"/>
  <c r="R333" i="2" s="1"/>
  <c r="V333" i="2"/>
  <c r="S333" i="2" s="1"/>
  <c r="W333" i="2"/>
  <c r="T333" i="2" s="1"/>
  <c r="X333" i="2"/>
  <c r="I334" i="2"/>
  <c r="O334" i="2"/>
  <c r="V334" i="2"/>
  <c r="S334" i="2" s="1"/>
  <c r="W334" i="2"/>
  <c r="T334" i="2" s="1"/>
  <c r="X334" i="2"/>
  <c r="I335" i="2"/>
  <c r="O335" i="2"/>
  <c r="V335" i="2"/>
  <c r="S335" i="2" s="1"/>
  <c r="W335" i="2"/>
  <c r="T335" i="2" s="1"/>
  <c r="X335" i="2"/>
  <c r="I336" i="2"/>
  <c r="O336" i="2"/>
  <c r="V336" i="2"/>
  <c r="S336" i="2" s="1"/>
  <c r="W336" i="2"/>
  <c r="T336" i="2" s="1"/>
  <c r="X336" i="2"/>
  <c r="I337" i="2"/>
  <c r="O337" i="2"/>
  <c r="V337" i="2"/>
  <c r="S337" i="2" s="1"/>
  <c r="W337" i="2"/>
  <c r="T337" i="2" s="1"/>
  <c r="X337" i="2"/>
  <c r="I338" i="2"/>
  <c r="O338" i="2"/>
  <c r="V338" i="2"/>
  <c r="S338" i="2" s="1"/>
  <c r="W338" i="2"/>
  <c r="T338" i="2" s="1"/>
  <c r="X338" i="2"/>
  <c r="I339" i="2"/>
  <c r="O339" i="2"/>
  <c r="U339" i="2"/>
  <c r="R339" i="2" s="1"/>
  <c r="V339" i="2"/>
  <c r="S339" i="2" s="1"/>
  <c r="W339" i="2"/>
  <c r="T339" i="2" s="1"/>
  <c r="X339" i="2"/>
  <c r="I340" i="2"/>
  <c r="O340" i="2"/>
  <c r="V340" i="2"/>
  <c r="S340" i="2" s="1"/>
  <c r="W340" i="2"/>
  <c r="T340" i="2" s="1"/>
  <c r="X340" i="2"/>
  <c r="I341" i="2"/>
  <c r="O341" i="2"/>
  <c r="V341" i="2"/>
  <c r="S341" i="2" s="1"/>
  <c r="W341" i="2"/>
  <c r="T341" i="2" s="1"/>
  <c r="X341" i="2"/>
  <c r="I342" i="2"/>
  <c r="O342" i="2"/>
  <c r="V342" i="2"/>
  <c r="S342" i="2" s="1"/>
  <c r="W342" i="2"/>
  <c r="T342" i="2" s="1"/>
  <c r="X342" i="2"/>
  <c r="I343" i="2"/>
  <c r="O343" i="2"/>
  <c r="V343" i="2"/>
  <c r="S343" i="2" s="1"/>
  <c r="W343" i="2"/>
  <c r="T343" i="2" s="1"/>
  <c r="X343" i="2"/>
  <c r="I344" i="2"/>
  <c r="O344" i="2"/>
  <c r="V344" i="2"/>
  <c r="S344" i="2" s="1"/>
  <c r="W344" i="2"/>
  <c r="T344" i="2" s="1"/>
  <c r="X344" i="2"/>
  <c r="I345" i="2"/>
  <c r="O345" i="2"/>
  <c r="V345" i="2"/>
  <c r="S345" i="2" s="1"/>
  <c r="W345" i="2"/>
  <c r="T345" i="2" s="1"/>
  <c r="X345" i="2"/>
  <c r="I346" i="2"/>
  <c r="O346" i="2"/>
  <c r="V346" i="2"/>
  <c r="S346" i="2" s="1"/>
  <c r="W346" i="2"/>
  <c r="T346" i="2" s="1"/>
  <c r="X346" i="2"/>
  <c r="I347" i="2"/>
  <c r="O347" i="2"/>
  <c r="V347" i="2"/>
  <c r="S347" i="2" s="1"/>
  <c r="W347" i="2"/>
  <c r="T347" i="2" s="1"/>
  <c r="X347" i="2"/>
  <c r="I348" i="2"/>
  <c r="O348" i="2"/>
  <c r="V348" i="2"/>
  <c r="S348" i="2" s="1"/>
  <c r="W348" i="2"/>
  <c r="T348" i="2" s="1"/>
  <c r="X348" i="2"/>
  <c r="I349" i="2"/>
  <c r="O349" i="2"/>
  <c r="U349" i="2"/>
  <c r="R349" i="2" s="1"/>
  <c r="V349" i="2"/>
  <c r="S349" i="2" s="1"/>
  <c r="W349" i="2"/>
  <c r="T349" i="2" s="1"/>
  <c r="X349" i="2"/>
  <c r="I350" i="2"/>
  <c r="O350" i="2"/>
  <c r="V350" i="2"/>
  <c r="S350" i="2" s="1"/>
  <c r="W350" i="2"/>
  <c r="T350" i="2" s="1"/>
  <c r="X350" i="2"/>
  <c r="I351" i="2"/>
  <c r="O351" i="2"/>
  <c r="V351" i="2"/>
  <c r="S351" i="2" s="1"/>
  <c r="W351" i="2"/>
  <c r="T351" i="2" s="1"/>
  <c r="X351" i="2"/>
  <c r="I352" i="2"/>
  <c r="O352" i="2"/>
  <c r="U352" i="2"/>
  <c r="R352" i="2" s="1"/>
  <c r="V352" i="2"/>
  <c r="S352" i="2" s="1"/>
  <c r="W352" i="2"/>
  <c r="T352" i="2" s="1"/>
  <c r="X352" i="2"/>
  <c r="I353" i="2"/>
  <c r="O353" i="2"/>
  <c r="V353" i="2"/>
  <c r="S353" i="2" s="1"/>
  <c r="W353" i="2"/>
  <c r="T353" i="2" s="1"/>
  <c r="X353" i="2"/>
  <c r="I354" i="2"/>
  <c r="O354" i="2"/>
  <c r="V354" i="2"/>
  <c r="S354" i="2" s="1"/>
  <c r="W354" i="2"/>
  <c r="T354" i="2" s="1"/>
  <c r="X354" i="2"/>
  <c r="I355" i="2"/>
  <c r="O355" i="2"/>
  <c r="U355" i="2"/>
  <c r="R355" i="2" s="1"/>
  <c r="V355" i="2"/>
  <c r="S355" i="2" s="1"/>
  <c r="W355" i="2"/>
  <c r="T355" i="2" s="1"/>
  <c r="X355" i="2"/>
  <c r="I356" i="2"/>
  <c r="O356" i="2"/>
  <c r="V356" i="2"/>
  <c r="S356" i="2" s="1"/>
  <c r="W356" i="2"/>
  <c r="T356" i="2" s="1"/>
  <c r="X356" i="2"/>
  <c r="I357" i="2"/>
  <c r="O357" i="2"/>
  <c r="V357" i="2"/>
  <c r="S357" i="2" s="1"/>
  <c r="W357" i="2"/>
  <c r="T357" i="2" s="1"/>
  <c r="X357" i="2"/>
  <c r="I358" i="2"/>
  <c r="O358" i="2"/>
  <c r="U358" i="2"/>
  <c r="R358" i="2" s="1"/>
  <c r="V358" i="2"/>
  <c r="S358" i="2" s="1"/>
  <c r="W358" i="2"/>
  <c r="T358" i="2" s="1"/>
  <c r="X358" i="2"/>
  <c r="I359" i="2"/>
  <c r="O359" i="2"/>
  <c r="U359" i="2"/>
  <c r="R359" i="2" s="1"/>
  <c r="V359" i="2"/>
  <c r="S359" i="2" s="1"/>
  <c r="W359" i="2"/>
  <c r="T359" i="2" s="1"/>
  <c r="X359" i="2"/>
  <c r="I360" i="2"/>
  <c r="O360" i="2"/>
  <c r="U360" i="2"/>
  <c r="R360" i="2" s="1"/>
  <c r="V360" i="2"/>
  <c r="S360" i="2" s="1"/>
  <c r="W360" i="2"/>
  <c r="T360" i="2" s="1"/>
  <c r="X360" i="2"/>
  <c r="I361" i="2"/>
  <c r="O361" i="2"/>
  <c r="U361" i="2"/>
  <c r="R361" i="2" s="1"/>
  <c r="V361" i="2"/>
  <c r="S361" i="2" s="1"/>
  <c r="W361" i="2"/>
  <c r="T361" i="2" s="1"/>
  <c r="X361" i="2"/>
  <c r="I362" i="2"/>
  <c r="O362" i="2"/>
  <c r="U362" i="2"/>
  <c r="R362" i="2" s="1"/>
  <c r="V362" i="2"/>
  <c r="S362" i="2" s="1"/>
  <c r="W362" i="2"/>
  <c r="T362" i="2" s="1"/>
  <c r="X362" i="2"/>
  <c r="I363" i="2"/>
  <c r="O363" i="2"/>
  <c r="V363" i="2"/>
  <c r="S363" i="2" s="1"/>
  <c r="W363" i="2"/>
  <c r="T363" i="2" s="1"/>
  <c r="X363" i="2"/>
  <c r="I364" i="2"/>
  <c r="O364" i="2"/>
  <c r="U364" i="2"/>
  <c r="R364" i="2" s="1"/>
  <c r="V364" i="2"/>
  <c r="S364" i="2" s="1"/>
  <c r="W364" i="2"/>
  <c r="T364" i="2" s="1"/>
  <c r="X364" i="2"/>
  <c r="I365" i="2"/>
  <c r="O365" i="2"/>
  <c r="U365" i="2"/>
  <c r="R365" i="2" s="1"/>
  <c r="V365" i="2"/>
  <c r="S365" i="2" s="1"/>
  <c r="W365" i="2"/>
  <c r="T365" i="2" s="1"/>
  <c r="X365" i="2"/>
  <c r="I366" i="2"/>
  <c r="O366" i="2"/>
  <c r="U366" i="2"/>
  <c r="R366" i="2" s="1"/>
  <c r="V366" i="2"/>
  <c r="S366" i="2" s="1"/>
  <c r="W366" i="2"/>
  <c r="T366" i="2" s="1"/>
  <c r="X366" i="2"/>
  <c r="I367" i="2"/>
  <c r="O367" i="2"/>
  <c r="V367" i="2"/>
  <c r="S367" i="2" s="1"/>
  <c r="W367" i="2"/>
  <c r="T367" i="2" s="1"/>
  <c r="X367" i="2"/>
  <c r="I368" i="2"/>
  <c r="O368" i="2"/>
  <c r="V368" i="2"/>
  <c r="S368" i="2" s="1"/>
  <c r="W368" i="2"/>
  <c r="T368" i="2" s="1"/>
  <c r="X368" i="2"/>
  <c r="I369" i="2"/>
  <c r="O369" i="2"/>
  <c r="V369" i="2"/>
  <c r="S369" i="2" s="1"/>
  <c r="W369" i="2"/>
  <c r="T369" i="2" s="1"/>
  <c r="X369" i="2"/>
  <c r="I370" i="2"/>
  <c r="O370" i="2"/>
  <c r="V370" i="2"/>
  <c r="S370" i="2" s="1"/>
  <c r="W370" i="2"/>
  <c r="T370" i="2" s="1"/>
  <c r="X370" i="2"/>
  <c r="I371" i="2"/>
  <c r="O371" i="2"/>
  <c r="V371" i="2"/>
  <c r="S371" i="2" s="1"/>
  <c r="W371" i="2"/>
  <c r="T371" i="2" s="1"/>
  <c r="X371" i="2"/>
  <c r="I372" i="2"/>
  <c r="O372" i="2"/>
  <c r="U372" i="2"/>
  <c r="R372" i="2" s="1"/>
  <c r="V372" i="2"/>
  <c r="S372" i="2" s="1"/>
  <c r="W372" i="2"/>
  <c r="T372" i="2" s="1"/>
  <c r="X372" i="2"/>
  <c r="I373" i="2"/>
  <c r="O373" i="2"/>
  <c r="U373" i="2"/>
  <c r="R373" i="2" s="1"/>
  <c r="V373" i="2"/>
  <c r="S373" i="2" s="1"/>
  <c r="W373" i="2"/>
  <c r="T373" i="2" s="1"/>
  <c r="X373" i="2"/>
  <c r="I374" i="2"/>
  <c r="O374" i="2"/>
  <c r="U374" i="2"/>
  <c r="R374" i="2" s="1"/>
  <c r="V374" i="2"/>
  <c r="S374" i="2" s="1"/>
  <c r="W374" i="2"/>
  <c r="T374" i="2" s="1"/>
  <c r="X374" i="2"/>
  <c r="I375" i="2"/>
  <c r="O375" i="2"/>
  <c r="V375" i="2"/>
  <c r="S375" i="2" s="1"/>
  <c r="W375" i="2"/>
  <c r="T375" i="2" s="1"/>
  <c r="X375" i="2"/>
  <c r="I376" i="2"/>
  <c r="O376" i="2"/>
  <c r="V376" i="2"/>
  <c r="S376" i="2" s="1"/>
  <c r="W376" i="2"/>
  <c r="T376" i="2" s="1"/>
  <c r="X376" i="2"/>
  <c r="I377" i="2"/>
  <c r="O377" i="2"/>
  <c r="V377" i="2"/>
  <c r="S377" i="2" s="1"/>
  <c r="W377" i="2"/>
  <c r="T377" i="2" s="1"/>
  <c r="X377" i="2"/>
  <c r="I378" i="2"/>
  <c r="O378" i="2"/>
  <c r="U378" i="2"/>
  <c r="R378" i="2" s="1"/>
  <c r="V378" i="2"/>
  <c r="S378" i="2" s="1"/>
  <c r="W378" i="2"/>
  <c r="T378" i="2" s="1"/>
  <c r="X378" i="2"/>
  <c r="I379" i="2"/>
  <c r="O379" i="2"/>
  <c r="U379" i="2"/>
  <c r="R379" i="2" s="1"/>
  <c r="V379" i="2"/>
  <c r="S379" i="2" s="1"/>
  <c r="W379" i="2"/>
  <c r="T379" i="2" s="1"/>
  <c r="X379" i="2"/>
  <c r="I380" i="2"/>
  <c r="O380" i="2"/>
  <c r="U380" i="2"/>
  <c r="R380" i="2" s="1"/>
  <c r="V380" i="2"/>
  <c r="S380" i="2" s="1"/>
  <c r="W380" i="2"/>
  <c r="T380" i="2" s="1"/>
  <c r="X380" i="2"/>
  <c r="I381" i="2"/>
  <c r="O381" i="2"/>
  <c r="U381" i="2"/>
  <c r="R381" i="2" s="1"/>
  <c r="V381" i="2"/>
  <c r="S381" i="2" s="1"/>
  <c r="W381" i="2"/>
  <c r="T381" i="2" s="1"/>
  <c r="X381" i="2"/>
  <c r="I382" i="2"/>
  <c r="O382" i="2"/>
  <c r="U382" i="2"/>
  <c r="R382" i="2" s="1"/>
  <c r="V382" i="2"/>
  <c r="S382" i="2" s="1"/>
  <c r="W382" i="2"/>
  <c r="T382" i="2" s="1"/>
  <c r="X382" i="2"/>
  <c r="I383" i="2"/>
  <c r="O383" i="2"/>
  <c r="U383" i="2"/>
  <c r="R383" i="2" s="1"/>
  <c r="V383" i="2"/>
  <c r="S383" i="2" s="1"/>
  <c r="W383" i="2"/>
  <c r="T383" i="2" s="1"/>
  <c r="X383" i="2"/>
  <c r="I384" i="2"/>
  <c r="O384" i="2"/>
  <c r="U384" i="2"/>
  <c r="R384" i="2" s="1"/>
  <c r="V384" i="2"/>
  <c r="S384" i="2" s="1"/>
  <c r="W384" i="2"/>
  <c r="T384" i="2" s="1"/>
  <c r="X384" i="2"/>
  <c r="I385" i="2"/>
  <c r="O385" i="2"/>
  <c r="V385" i="2"/>
  <c r="S385" i="2" s="1"/>
  <c r="W385" i="2"/>
  <c r="T385" i="2" s="1"/>
  <c r="X385" i="2"/>
  <c r="I386" i="2"/>
  <c r="O386" i="2"/>
  <c r="V386" i="2"/>
  <c r="S386" i="2" s="1"/>
  <c r="W386" i="2"/>
  <c r="T386" i="2" s="1"/>
  <c r="X386" i="2"/>
  <c r="I387" i="2"/>
  <c r="O387" i="2"/>
  <c r="U387" i="2"/>
  <c r="R387" i="2" s="1"/>
  <c r="V387" i="2"/>
  <c r="S387" i="2" s="1"/>
  <c r="W387" i="2"/>
  <c r="T387" i="2" s="1"/>
  <c r="X387" i="2"/>
  <c r="I388" i="2"/>
  <c r="O388" i="2"/>
  <c r="V388" i="2"/>
  <c r="S388" i="2" s="1"/>
  <c r="W388" i="2"/>
  <c r="T388" i="2" s="1"/>
  <c r="X388" i="2"/>
  <c r="I389" i="2"/>
  <c r="O389" i="2"/>
  <c r="V389" i="2"/>
  <c r="S389" i="2" s="1"/>
  <c r="W389" i="2"/>
  <c r="T389" i="2" s="1"/>
  <c r="X389" i="2"/>
  <c r="I390" i="2"/>
  <c r="O390" i="2"/>
  <c r="V390" i="2"/>
  <c r="S390" i="2" s="1"/>
  <c r="W390" i="2"/>
  <c r="T390" i="2" s="1"/>
  <c r="X390" i="2"/>
  <c r="I391" i="2"/>
  <c r="O391" i="2"/>
  <c r="V391" i="2"/>
  <c r="S391" i="2" s="1"/>
  <c r="W391" i="2"/>
  <c r="T391" i="2" s="1"/>
  <c r="X391" i="2"/>
  <c r="I392" i="2"/>
  <c r="O392" i="2"/>
  <c r="U392" i="2"/>
  <c r="R392" i="2" s="1"/>
  <c r="V392" i="2"/>
  <c r="S392" i="2" s="1"/>
  <c r="W392" i="2"/>
  <c r="T392" i="2" s="1"/>
  <c r="X392" i="2"/>
  <c r="I393" i="2"/>
  <c r="O393" i="2"/>
  <c r="V393" i="2"/>
  <c r="S393" i="2" s="1"/>
  <c r="W393" i="2"/>
  <c r="T393" i="2" s="1"/>
  <c r="X393" i="2"/>
  <c r="I394" i="2"/>
  <c r="O394" i="2"/>
  <c r="V394" i="2"/>
  <c r="S394" i="2" s="1"/>
  <c r="W394" i="2"/>
  <c r="T394" i="2" s="1"/>
  <c r="X394" i="2"/>
  <c r="I395" i="2"/>
  <c r="O395" i="2"/>
  <c r="U395" i="2"/>
  <c r="R395" i="2" s="1"/>
  <c r="V395" i="2"/>
  <c r="S395" i="2" s="1"/>
  <c r="W395" i="2"/>
  <c r="T395" i="2" s="1"/>
  <c r="X395" i="2"/>
  <c r="I396" i="2"/>
  <c r="O396" i="2"/>
  <c r="V396" i="2"/>
  <c r="S396" i="2" s="1"/>
  <c r="W396" i="2"/>
  <c r="T396" i="2" s="1"/>
  <c r="X396" i="2"/>
  <c r="I397" i="2"/>
  <c r="O397" i="2"/>
  <c r="V397" i="2"/>
  <c r="S397" i="2" s="1"/>
  <c r="W397" i="2"/>
  <c r="T397" i="2" s="1"/>
  <c r="X397" i="2"/>
  <c r="I398" i="2"/>
  <c r="O398" i="2"/>
  <c r="V398" i="2"/>
  <c r="S398" i="2" s="1"/>
  <c r="W398" i="2"/>
  <c r="T398" i="2" s="1"/>
  <c r="X398" i="2"/>
  <c r="I399" i="2"/>
  <c r="O399" i="2"/>
  <c r="U399" i="2"/>
  <c r="R399" i="2" s="1"/>
  <c r="V399" i="2"/>
  <c r="S399" i="2" s="1"/>
  <c r="W399" i="2"/>
  <c r="T399" i="2" s="1"/>
  <c r="X399" i="2"/>
  <c r="I400" i="2"/>
  <c r="O400" i="2"/>
  <c r="V400" i="2"/>
  <c r="S400" i="2" s="1"/>
  <c r="W400" i="2"/>
  <c r="T400" i="2" s="1"/>
  <c r="X400" i="2"/>
  <c r="I401" i="2"/>
  <c r="O401" i="2"/>
  <c r="V401" i="2"/>
  <c r="S401" i="2" s="1"/>
  <c r="W401" i="2"/>
  <c r="T401" i="2" s="1"/>
  <c r="X401" i="2"/>
  <c r="I402" i="2"/>
  <c r="O402" i="2"/>
  <c r="V402" i="2"/>
  <c r="S402" i="2" s="1"/>
  <c r="W402" i="2"/>
  <c r="T402" i="2" s="1"/>
  <c r="X402" i="2"/>
  <c r="I403" i="2"/>
  <c r="O403" i="2"/>
  <c r="V403" i="2"/>
  <c r="S403" i="2" s="1"/>
  <c r="W403" i="2"/>
  <c r="T403" i="2" s="1"/>
  <c r="X403" i="2"/>
  <c r="I404" i="2"/>
  <c r="O404" i="2"/>
  <c r="U404" i="2"/>
  <c r="R404" i="2" s="1"/>
  <c r="V404" i="2"/>
  <c r="S404" i="2" s="1"/>
  <c r="W404" i="2"/>
  <c r="T404" i="2" s="1"/>
  <c r="X404" i="2"/>
  <c r="I405" i="2"/>
  <c r="O405" i="2"/>
  <c r="U405" i="2"/>
  <c r="R405" i="2" s="1"/>
  <c r="V405" i="2"/>
  <c r="S405" i="2" s="1"/>
  <c r="W405" i="2"/>
  <c r="T405" i="2" s="1"/>
  <c r="X405" i="2"/>
  <c r="I406" i="2"/>
  <c r="O406" i="2"/>
  <c r="U406" i="2"/>
  <c r="R406" i="2" s="1"/>
  <c r="V406" i="2"/>
  <c r="S406" i="2" s="1"/>
  <c r="W406" i="2"/>
  <c r="T406" i="2" s="1"/>
  <c r="X406" i="2"/>
  <c r="I407" i="2"/>
  <c r="O407" i="2"/>
  <c r="U407" i="2"/>
  <c r="R407" i="2" s="1"/>
  <c r="V407" i="2"/>
  <c r="S407" i="2" s="1"/>
  <c r="W407" i="2"/>
  <c r="T407" i="2" s="1"/>
  <c r="X407" i="2"/>
  <c r="I408" i="2"/>
  <c r="O408" i="2"/>
  <c r="U408" i="2"/>
  <c r="R408" i="2" s="1"/>
  <c r="V408" i="2"/>
  <c r="S408" i="2" s="1"/>
  <c r="W408" i="2"/>
  <c r="T408" i="2" s="1"/>
  <c r="X408" i="2"/>
  <c r="I409" i="2"/>
  <c r="O409" i="2"/>
  <c r="V409" i="2"/>
  <c r="S409" i="2" s="1"/>
  <c r="W409" i="2"/>
  <c r="T409" i="2" s="1"/>
  <c r="X409" i="2"/>
  <c r="I410" i="2"/>
  <c r="O410" i="2"/>
  <c r="U410" i="2"/>
  <c r="R410" i="2" s="1"/>
  <c r="V410" i="2"/>
  <c r="S410" i="2" s="1"/>
  <c r="W410" i="2"/>
  <c r="T410" i="2" s="1"/>
  <c r="X410" i="2"/>
  <c r="I411" i="2"/>
  <c r="O411" i="2"/>
  <c r="V411" i="2"/>
  <c r="S411" i="2" s="1"/>
  <c r="W411" i="2"/>
  <c r="T411" i="2" s="1"/>
  <c r="X411" i="2"/>
  <c r="I412" i="2"/>
  <c r="O412" i="2"/>
  <c r="U412" i="2"/>
  <c r="R412" i="2" s="1"/>
  <c r="V412" i="2"/>
  <c r="S412" i="2" s="1"/>
  <c r="W412" i="2"/>
  <c r="T412" i="2" s="1"/>
  <c r="X412" i="2"/>
  <c r="I413" i="2"/>
  <c r="O413" i="2"/>
  <c r="V413" i="2"/>
  <c r="S413" i="2" s="1"/>
  <c r="W413" i="2"/>
  <c r="T413" i="2" s="1"/>
  <c r="X413" i="2"/>
  <c r="I414" i="2"/>
  <c r="O414" i="2"/>
  <c r="U414" i="2"/>
  <c r="R414" i="2" s="1"/>
  <c r="V414" i="2"/>
  <c r="S414" i="2" s="1"/>
  <c r="W414" i="2"/>
  <c r="T414" i="2" s="1"/>
  <c r="X414" i="2"/>
  <c r="I415" i="2"/>
  <c r="O415" i="2"/>
  <c r="V415" i="2"/>
  <c r="S415" i="2" s="1"/>
  <c r="W415" i="2"/>
  <c r="T415" i="2" s="1"/>
  <c r="X415" i="2"/>
  <c r="I416" i="2"/>
  <c r="O416" i="2"/>
  <c r="V416" i="2"/>
  <c r="S416" i="2" s="1"/>
  <c r="W416" i="2"/>
  <c r="T416" i="2" s="1"/>
  <c r="X416" i="2"/>
  <c r="I417" i="2"/>
  <c r="O417" i="2"/>
  <c r="V417" i="2"/>
  <c r="S417" i="2" s="1"/>
  <c r="W417" i="2"/>
  <c r="T417" i="2" s="1"/>
  <c r="X417" i="2"/>
  <c r="I418" i="2"/>
  <c r="O418" i="2"/>
  <c r="V418" i="2"/>
  <c r="S418" i="2" s="1"/>
  <c r="W418" i="2"/>
  <c r="T418" i="2" s="1"/>
  <c r="X418" i="2"/>
  <c r="I419" i="2"/>
  <c r="O419" i="2"/>
  <c r="U419" i="2"/>
  <c r="R419" i="2" s="1"/>
  <c r="V419" i="2"/>
  <c r="S419" i="2" s="1"/>
  <c r="W419" i="2"/>
  <c r="T419" i="2" s="1"/>
  <c r="X419" i="2"/>
  <c r="I420" i="2"/>
  <c r="O420" i="2"/>
  <c r="V420" i="2"/>
  <c r="S420" i="2" s="1"/>
  <c r="W420" i="2"/>
  <c r="T420" i="2" s="1"/>
  <c r="X420" i="2"/>
  <c r="I421" i="2"/>
  <c r="O421" i="2"/>
  <c r="U421" i="2"/>
  <c r="R421" i="2" s="1"/>
  <c r="V421" i="2"/>
  <c r="S421" i="2" s="1"/>
  <c r="W421" i="2"/>
  <c r="T421" i="2" s="1"/>
  <c r="X421" i="2"/>
  <c r="I422" i="2"/>
  <c r="O422" i="2"/>
  <c r="U422" i="2"/>
  <c r="R422" i="2" s="1"/>
  <c r="V422" i="2"/>
  <c r="S422" i="2" s="1"/>
  <c r="W422" i="2"/>
  <c r="T422" i="2" s="1"/>
  <c r="X422" i="2"/>
  <c r="I423" i="2"/>
  <c r="O423" i="2"/>
  <c r="V423" i="2"/>
  <c r="S423" i="2" s="1"/>
  <c r="W423" i="2"/>
  <c r="T423" i="2" s="1"/>
  <c r="X423" i="2"/>
  <c r="I424" i="2"/>
  <c r="O424" i="2"/>
  <c r="V424" i="2"/>
  <c r="S424" i="2" s="1"/>
  <c r="W424" i="2"/>
  <c r="T424" i="2" s="1"/>
  <c r="X424" i="2"/>
  <c r="I425" i="2"/>
  <c r="O425" i="2"/>
  <c r="U425" i="2"/>
  <c r="R425" i="2" s="1"/>
  <c r="V425" i="2"/>
  <c r="S425" i="2" s="1"/>
  <c r="W425" i="2"/>
  <c r="T425" i="2" s="1"/>
  <c r="X425" i="2"/>
  <c r="I426" i="2"/>
  <c r="O426" i="2"/>
  <c r="V426" i="2"/>
  <c r="S426" i="2" s="1"/>
  <c r="W426" i="2"/>
  <c r="T426" i="2" s="1"/>
  <c r="X426" i="2"/>
  <c r="I427" i="2"/>
  <c r="O427" i="2"/>
  <c r="V427" i="2"/>
  <c r="S427" i="2" s="1"/>
  <c r="W427" i="2"/>
  <c r="T427" i="2" s="1"/>
  <c r="X427" i="2"/>
  <c r="I428" i="2"/>
  <c r="O428" i="2"/>
  <c r="V428" i="2"/>
  <c r="S428" i="2" s="1"/>
  <c r="W428" i="2"/>
  <c r="T428" i="2" s="1"/>
  <c r="X428" i="2"/>
  <c r="I429" i="2"/>
  <c r="O429" i="2"/>
  <c r="V429" i="2"/>
  <c r="S429" i="2" s="1"/>
  <c r="W429" i="2"/>
  <c r="T429" i="2" s="1"/>
  <c r="X429" i="2"/>
  <c r="I430" i="2"/>
  <c r="O430" i="2"/>
  <c r="U430" i="2"/>
  <c r="R430" i="2" s="1"/>
  <c r="V430" i="2"/>
  <c r="S430" i="2" s="1"/>
  <c r="W430" i="2"/>
  <c r="T430" i="2" s="1"/>
  <c r="X430" i="2"/>
  <c r="I431" i="2"/>
  <c r="O431" i="2"/>
  <c r="V431" i="2"/>
  <c r="S431" i="2" s="1"/>
  <c r="W431" i="2"/>
  <c r="T431" i="2" s="1"/>
  <c r="X431" i="2"/>
  <c r="I432" i="2"/>
  <c r="O432" i="2"/>
  <c r="V432" i="2"/>
  <c r="S432" i="2" s="1"/>
  <c r="W432" i="2"/>
  <c r="T432" i="2" s="1"/>
  <c r="X432" i="2"/>
  <c r="I433" i="2"/>
  <c r="O433" i="2"/>
  <c r="V433" i="2"/>
  <c r="S433" i="2" s="1"/>
  <c r="W433" i="2"/>
  <c r="T433" i="2" s="1"/>
  <c r="X433" i="2"/>
  <c r="I434" i="2"/>
  <c r="O434" i="2"/>
  <c r="U434" i="2"/>
  <c r="R434" i="2" s="1"/>
  <c r="V434" i="2"/>
  <c r="S434" i="2" s="1"/>
  <c r="W434" i="2"/>
  <c r="T434" i="2" s="1"/>
  <c r="X434" i="2"/>
  <c r="I435" i="2"/>
  <c r="O435" i="2"/>
  <c r="U435" i="2"/>
  <c r="R435" i="2" s="1"/>
  <c r="V435" i="2"/>
  <c r="S435" i="2" s="1"/>
  <c r="W435" i="2"/>
  <c r="T435" i="2" s="1"/>
  <c r="X435" i="2"/>
  <c r="I436" i="2"/>
  <c r="O436" i="2"/>
  <c r="V436" i="2"/>
  <c r="S436" i="2" s="1"/>
  <c r="W436" i="2"/>
  <c r="T436" i="2" s="1"/>
  <c r="X436" i="2"/>
  <c r="I437" i="2"/>
  <c r="O437" i="2"/>
  <c r="V437" i="2"/>
  <c r="S437" i="2" s="1"/>
  <c r="W437" i="2"/>
  <c r="T437" i="2" s="1"/>
  <c r="X437" i="2"/>
  <c r="I438" i="2"/>
  <c r="O438" i="2"/>
  <c r="U438" i="2"/>
  <c r="R438" i="2" s="1"/>
  <c r="V438" i="2"/>
  <c r="S438" i="2" s="1"/>
  <c r="W438" i="2"/>
  <c r="T438" i="2" s="1"/>
  <c r="X438" i="2"/>
  <c r="I439" i="2"/>
  <c r="O439" i="2"/>
  <c r="V439" i="2"/>
  <c r="S439" i="2" s="1"/>
  <c r="W439" i="2"/>
  <c r="T439" i="2" s="1"/>
  <c r="X439" i="2"/>
  <c r="I440" i="2"/>
  <c r="O440" i="2"/>
  <c r="V440" i="2"/>
  <c r="S440" i="2" s="1"/>
  <c r="W440" i="2"/>
  <c r="T440" i="2" s="1"/>
  <c r="X440" i="2"/>
  <c r="I441" i="2"/>
  <c r="O441" i="2"/>
  <c r="V441" i="2"/>
  <c r="S441" i="2" s="1"/>
  <c r="W441" i="2"/>
  <c r="T441" i="2" s="1"/>
  <c r="X441" i="2"/>
  <c r="I442" i="2"/>
  <c r="O442" i="2"/>
  <c r="V442" i="2"/>
  <c r="S442" i="2" s="1"/>
  <c r="W442" i="2"/>
  <c r="T442" i="2" s="1"/>
  <c r="X442" i="2"/>
  <c r="I443" i="2"/>
  <c r="O443" i="2"/>
  <c r="U443" i="2"/>
  <c r="R443" i="2" s="1"/>
  <c r="V443" i="2"/>
  <c r="S443" i="2" s="1"/>
  <c r="W443" i="2"/>
  <c r="T443" i="2" s="1"/>
  <c r="X443" i="2"/>
  <c r="I444" i="2"/>
  <c r="O444" i="2"/>
  <c r="U444" i="2"/>
  <c r="R444" i="2" s="1"/>
  <c r="V444" i="2"/>
  <c r="S444" i="2" s="1"/>
  <c r="W444" i="2"/>
  <c r="T444" i="2" s="1"/>
  <c r="X444" i="2"/>
  <c r="I445" i="2"/>
  <c r="O445" i="2"/>
  <c r="U445" i="2"/>
  <c r="R445" i="2" s="1"/>
  <c r="V445" i="2"/>
  <c r="S445" i="2" s="1"/>
  <c r="W445" i="2"/>
  <c r="T445" i="2" s="1"/>
  <c r="X445" i="2"/>
  <c r="I446" i="2"/>
  <c r="O446" i="2"/>
  <c r="U446" i="2"/>
  <c r="R446" i="2" s="1"/>
  <c r="V446" i="2"/>
  <c r="S446" i="2" s="1"/>
  <c r="W446" i="2"/>
  <c r="T446" i="2" s="1"/>
  <c r="X446" i="2"/>
  <c r="I447" i="2"/>
  <c r="O447" i="2"/>
  <c r="V447" i="2"/>
  <c r="S447" i="2" s="1"/>
  <c r="W447" i="2"/>
  <c r="T447" i="2" s="1"/>
  <c r="X447" i="2"/>
  <c r="I448" i="2"/>
  <c r="O448" i="2"/>
  <c r="U448" i="2"/>
  <c r="R448" i="2" s="1"/>
  <c r="V448" i="2"/>
  <c r="S448" i="2" s="1"/>
  <c r="W448" i="2"/>
  <c r="T448" i="2" s="1"/>
  <c r="X448" i="2"/>
  <c r="I449" i="2"/>
  <c r="O449" i="2"/>
  <c r="U449" i="2"/>
  <c r="R449" i="2" s="1"/>
  <c r="V449" i="2"/>
  <c r="S449" i="2" s="1"/>
  <c r="W449" i="2"/>
  <c r="T449" i="2" s="1"/>
  <c r="X449" i="2"/>
  <c r="I450" i="2"/>
  <c r="O450" i="2"/>
  <c r="U450" i="2"/>
  <c r="R450" i="2" s="1"/>
  <c r="V450" i="2"/>
  <c r="S450" i="2" s="1"/>
  <c r="W450" i="2"/>
  <c r="T450" i="2" s="1"/>
  <c r="X450" i="2"/>
  <c r="I451" i="2"/>
  <c r="O451" i="2"/>
  <c r="U451" i="2"/>
  <c r="R451" i="2" s="1"/>
  <c r="V451" i="2"/>
  <c r="S451" i="2" s="1"/>
  <c r="W451" i="2"/>
  <c r="T451" i="2" s="1"/>
  <c r="X451" i="2"/>
  <c r="I452" i="2"/>
  <c r="O452" i="2"/>
  <c r="V452" i="2"/>
  <c r="S452" i="2" s="1"/>
  <c r="W452" i="2"/>
  <c r="T452" i="2" s="1"/>
  <c r="X452" i="2"/>
  <c r="I453" i="2"/>
  <c r="O453" i="2"/>
  <c r="V453" i="2"/>
  <c r="S453" i="2" s="1"/>
  <c r="W453" i="2"/>
  <c r="T453" i="2" s="1"/>
  <c r="X453" i="2"/>
  <c r="I454" i="2"/>
  <c r="O454" i="2"/>
  <c r="V454" i="2"/>
  <c r="S454" i="2" s="1"/>
  <c r="W454" i="2"/>
  <c r="T454" i="2" s="1"/>
  <c r="X454" i="2"/>
  <c r="I455" i="2"/>
  <c r="O455" i="2"/>
  <c r="V455" i="2"/>
  <c r="S455" i="2" s="1"/>
  <c r="W455" i="2"/>
  <c r="T455" i="2" s="1"/>
  <c r="X455" i="2"/>
  <c r="I456" i="2"/>
  <c r="O456" i="2"/>
  <c r="V456" i="2"/>
  <c r="S456" i="2" s="1"/>
  <c r="W456" i="2"/>
  <c r="T456" i="2" s="1"/>
  <c r="X456" i="2"/>
  <c r="I457" i="2"/>
  <c r="O457" i="2"/>
  <c r="U457" i="2"/>
  <c r="R457" i="2" s="1"/>
  <c r="V457" i="2"/>
  <c r="S457" i="2" s="1"/>
  <c r="W457" i="2"/>
  <c r="T457" i="2" s="1"/>
  <c r="X457" i="2"/>
  <c r="I458" i="2"/>
  <c r="O458" i="2"/>
  <c r="V458" i="2"/>
  <c r="S458" i="2" s="1"/>
  <c r="W458" i="2"/>
  <c r="T458" i="2" s="1"/>
  <c r="X458" i="2"/>
  <c r="I459" i="2"/>
  <c r="O459" i="2"/>
  <c r="U459" i="2"/>
  <c r="R459" i="2" s="1"/>
  <c r="V459" i="2"/>
  <c r="S459" i="2" s="1"/>
  <c r="W459" i="2"/>
  <c r="T459" i="2" s="1"/>
  <c r="X459" i="2"/>
  <c r="I460" i="2"/>
  <c r="O460" i="2"/>
  <c r="U460" i="2"/>
  <c r="R460" i="2" s="1"/>
  <c r="V460" i="2"/>
  <c r="S460" i="2" s="1"/>
  <c r="W460" i="2"/>
  <c r="T460" i="2" s="1"/>
  <c r="X460" i="2"/>
  <c r="I461" i="2"/>
  <c r="O461" i="2"/>
  <c r="U461" i="2"/>
  <c r="R461" i="2" s="1"/>
  <c r="V461" i="2"/>
  <c r="S461" i="2" s="1"/>
  <c r="W461" i="2"/>
  <c r="T461" i="2" s="1"/>
  <c r="X461" i="2"/>
  <c r="I462" i="2"/>
  <c r="O462" i="2"/>
  <c r="U462" i="2"/>
  <c r="R462" i="2" s="1"/>
  <c r="V462" i="2"/>
  <c r="S462" i="2" s="1"/>
  <c r="W462" i="2"/>
  <c r="T462" i="2" s="1"/>
  <c r="X462" i="2"/>
  <c r="I463" i="2"/>
  <c r="O463" i="2"/>
  <c r="U463" i="2"/>
  <c r="R463" i="2" s="1"/>
  <c r="V463" i="2"/>
  <c r="S463" i="2" s="1"/>
  <c r="W463" i="2"/>
  <c r="T463" i="2" s="1"/>
  <c r="X463" i="2"/>
  <c r="I464" i="2"/>
  <c r="O464" i="2"/>
  <c r="U464" i="2"/>
  <c r="R464" i="2" s="1"/>
  <c r="V464" i="2"/>
  <c r="S464" i="2" s="1"/>
  <c r="W464" i="2"/>
  <c r="T464" i="2" s="1"/>
  <c r="X464" i="2"/>
  <c r="I465" i="2"/>
  <c r="O465" i="2"/>
  <c r="V465" i="2"/>
  <c r="S465" i="2" s="1"/>
  <c r="W465" i="2"/>
  <c r="T465" i="2" s="1"/>
  <c r="X465" i="2"/>
  <c r="I466" i="2"/>
  <c r="O466" i="2"/>
  <c r="V466" i="2"/>
  <c r="S466" i="2" s="1"/>
  <c r="W466" i="2"/>
  <c r="T466" i="2" s="1"/>
  <c r="X466" i="2"/>
  <c r="I467" i="2"/>
  <c r="O467" i="2"/>
  <c r="V467" i="2"/>
  <c r="S467" i="2" s="1"/>
  <c r="W467" i="2"/>
  <c r="T467" i="2" s="1"/>
  <c r="X467" i="2"/>
  <c r="I468" i="2"/>
  <c r="O468" i="2"/>
  <c r="V468" i="2"/>
  <c r="S468" i="2" s="1"/>
  <c r="W468" i="2"/>
  <c r="T468" i="2" s="1"/>
  <c r="X468" i="2"/>
  <c r="I469" i="2"/>
  <c r="O469" i="2"/>
  <c r="V469" i="2"/>
  <c r="S469" i="2" s="1"/>
  <c r="W469" i="2"/>
  <c r="T469" i="2" s="1"/>
  <c r="X469" i="2"/>
  <c r="I470" i="2"/>
  <c r="O470" i="2"/>
  <c r="U470" i="2"/>
  <c r="R470" i="2" s="1"/>
  <c r="V470" i="2"/>
  <c r="S470" i="2" s="1"/>
  <c r="W470" i="2"/>
  <c r="T470" i="2" s="1"/>
  <c r="X470" i="2"/>
  <c r="I471" i="2"/>
  <c r="O471" i="2"/>
  <c r="U471" i="2"/>
  <c r="R471" i="2" s="1"/>
  <c r="V471" i="2"/>
  <c r="S471" i="2" s="1"/>
  <c r="W471" i="2"/>
  <c r="T471" i="2" s="1"/>
  <c r="X471" i="2"/>
  <c r="I472" i="2"/>
  <c r="O472" i="2"/>
  <c r="U472" i="2"/>
  <c r="R472" i="2" s="1"/>
  <c r="V472" i="2"/>
  <c r="S472" i="2" s="1"/>
  <c r="W472" i="2"/>
  <c r="T472" i="2" s="1"/>
  <c r="X472" i="2"/>
  <c r="I473" i="2"/>
  <c r="O473" i="2"/>
  <c r="U473" i="2"/>
  <c r="R473" i="2" s="1"/>
  <c r="V473" i="2"/>
  <c r="S473" i="2" s="1"/>
  <c r="W473" i="2"/>
  <c r="T473" i="2" s="1"/>
  <c r="X473" i="2"/>
  <c r="I474" i="2"/>
  <c r="O474" i="2"/>
  <c r="U474" i="2"/>
  <c r="R474" i="2" s="1"/>
  <c r="V474" i="2"/>
  <c r="S474" i="2" s="1"/>
  <c r="W474" i="2"/>
  <c r="T474" i="2" s="1"/>
  <c r="X474" i="2"/>
  <c r="I475" i="2"/>
  <c r="O475" i="2"/>
  <c r="V475" i="2"/>
  <c r="S475" i="2" s="1"/>
  <c r="W475" i="2"/>
  <c r="T475" i="2" s="1"/>
  <c r="X475" i="2"/>
  <c r="I476" i="2"/>
  <c r="O476" i="2"/>
  <c r="V476" i="2"/>
  <c r="S476" i="2" s="1"/>
  <c r="W476" i="2"/>
  <c r="T476" i="2" s="1"/>
  <c r="X476" i="2"/>
  <c r="I477" i="2"/>
  <c r="O477" i="2"/>
  <c r="V477" i="2"/>
  <c r="S477" i="2" s="1"/>
  <c r="W477" i="2"/>
  <c r="T477" i="2" s="1"/>
  <c r="X477" i="2"/>
  <c r="I478" i="2"/>
  <c r="O478" i="2"/>
  <c r="V478" i="2"/>
  <c r="S478" i="2" s="1"/>
  <c r="W478" i="2"/>
  <c r="T478" i="2" s="1"/>
  <c r="X478" i="2"/>
  <c r="I479" i="2"/>
  <c r="O479" i="2"/>
  <c r="U479" i="2"/>
  <c r="R479" i="2" s="1"/>
  <c r="V479" i="2"/>
  <c r="S479" i="2" s="1"/>
  <c r="W479" i="2"/>
  <c r="T479" i="2" s="1"/>
  <c r="X479" i="2"/>
  <c r="I480" i="2"/>
  <c r="O480" i="2"/>
  <c r="V480" i="2"/>
  <c r="S480" i="2" s="1"/>
  <c r="W480" i="2"/>
  <c r="T480" i="2" s="1"/>
  <c r="X480" i="2"/>
  <c r="I481" i="2"/>
  <c r="O481" i="2"/>
  <c r="V481" i="2"/>
  <c r="S481" i="2" s="1"/>
  <c r="W481" i="2"/>
  <c r="T481" i="2" s="1"/>
  <c r="X481" i="2"/>
  <c r="O230" i="2"/>
  <c r="I230" i="2"/>
  <c r="O229" i="2"/>
  <c r="I229" i="2"/>
  <c r="O228" i="2"/>
  <c r="I228" i="2"/>
  <c r="O227" i="2"/>
  <c r="I227" i="2"/>
  <c r="O226" i="2"/>
  <c r="I226" i="2"/>
  <c r="O225" i="2"/>
  <c r="I225" i="2"/>
  <c r="O224" i="2"/>
  <c r="I224" i="2"/>
  <c r="O223" i="2"/>
  <c r="I223" i="2"/>
  <c r="O222" i="2"/>
  <c r="I222" i="2"/>
  <c r="O221" i="2"/>
  <c r="I221" i="2"/>
  <c r="O220" i="2"/>
  <c r="I220" i="2"/>
  <c r="O219" i="2"/>
  <c r="I219" i="2"/>
  <c r="O218" i="2"/>
  <c r="I218" i="2"/>
  <c r="O217" i="2"/>
  <c r="I217" i="2"/>
  <c r="O216" i="2"/>
  <c r="I216" i="2"/>
  <c r="O215" i="2"/>
  <c r="I215" i="2"/>
  <c r="O214" i="2"/>
  <c r="I214" i="2"/>
  <c r="O213" i="2"/>
  <c r="I213" i="2"/>
  <c r="O212" i="2"/>
  <c r="I212" i="2"/>
  <c r="O211" i="2"/>
  <c r="I211" i="2"/>
  <c r="O210" i="2"/>
  <c r="I210" i="2"/>
  <c r="O209" i="2"/>
  <c r="I209" i="2"/>
  <c r="O208" i="2"/>
  <c r="I208" i="2"/>
  <c r="O207" i="2"/>
  <c r="I207" i="2"/>
  <c r="O206" i="2"/>
  <c r="I206" i="2"/>
  <c r="O205" i="2"/>
  <c r="I205" i="2"/>
  <c r="O204" i="2"/>
  <c r="I204" i="2"/>
  <c r="O203" i="2"/>
  <c r="I203" i="2"/>
  <c r="O202" i="2"/>
  <c r="I202" i="2"/>
  <c r="O201" i="2"/>
  <c r="I201" i="2"/>
  <c r="O200" i="2"/>
  <c r="I200" i="2"/>
  <c r="O199" i="2"/>
  <c r="I199" i="2"/>
  <c r="O198" i="2"/>
  <c r="I198" i="2"/>
  <c r="O197" i="2"/>
  <c r="I197" i="2"/>
  <c r="O196" i="2"/>
  <c r="I196" i="2"/>
  <c r="O195" i="2"/>
  <c r="I195" i="2"/>
  <c r="O194" i="2"/>
  <c r="I194" i="2"/>
  <c r="O193" i="2"/>
  <c r="I193" i="2"/>
  <c r="O192" i="2"/>
  <c r="I192" i="2"/>
  <c r="O191" i="2"/>
  <c r="I191" i="2"/>
  <c r="O190" i="2"/>
  <c r="I190" i="2"/>
  <c r="O189" i="2"/>
  <c r="I189" i="2"/>
  <c r="O188" i="2"/>
  <c r="I188" i="2"/>
  <c r="O187" i="2"/>
  <c r="I187" i="2"/>
  <c r="O186" i="2"/>
  <c r="I186" i="2"/>
  <c r="O185" i="2"/>
  <c r="I185" i="2"/>
  <c r="O184" i="2"/>
  <c r="I184" i="2"/>
  <c r="O183" i="2"/>
  <c r="I183" i="2"/>
  <c r="O182" i="2"/>
  <c r="I182" i="2"/>
  <c r="O181" i="2"/>
  <c r="I181" i="2"/>
  <c r="O180" i="2"/>
  <c r="I180" i="2"/>
  <c r="X221" i="2"/>
  <c r="W221" i="2"/>
  <c r="T221" i="2" s="1"/>
  <c r="V221" i="2"/>
  <c r="S221" i="2" s="1"/>
  <c r="U221" i="2"/>
  <c r="R221" i="2" s="1"/>
  <c r="X220" i="2"/>
  <c r="W220" i="2"/>
  <c r="T220" i="2" s="1"/>
  <c r="V220" i="2"/>
  <c r="S220" i="2" s="1"/>
  <c r="U220" i="2"/>
  <c r="R220" i="2" s="1"/>
  <c r="X219" i="2"/>
  <c r="W219" i="2"/>
  <c r="T219" i="2" s="1"/>
  <c r="V219" i="2"/>
  <c r="S219" i="2" s="1"/>
  <c r="U219" i="2"/>
  <c r="R219" i="2" s="1"/>
  <c r="X218" i="2"/>
  <c r="W218" i="2"/>
  <c r="T218" i="2" s="1"/>
  <c r="V218" i="2"/>
  <c r="S218" i="2" s="1"/>
  <c r="U218" i="2"/>
  <c r="R218" i="2" s="1"/>
  <c r="X217" i="2"/>
  <c r="W217" i="2"/>
  <c r="T217" i="2" s="1"/>
  <c r="V217" i="2"/>
  <c r="S217" i="2" s="1"/>
  <c r="U217" i="2"/>
  <c r="R217" i="2" s="1"/>
  <c r="X216" i="2"/>
  <c r="W216" i="2"/>
  <c r="T216" i="2" s="1"/>
  <c r="V216" i="2"/>
  <c r="S216" i="2" s="1"/>
  <c r="U216" i="2"/>
  <c r="R216" i="2" s="1"/>
  <c r="X215" i="2"/>
  <c r="W215" i="2"/>
  <c r="T215" i="2" s="1"/>
  <c r="V215" i="2"/>
  <c r="S215" i="2" s="1"/>
  <c r="X214" i="2"/>
  <c r="W214" i="2"/>
  <c r="T214" i="2" s="1"/>
  <c r="V214" i="2"/>
  <c r="S214" i="2" s="1"/>
  <c r="U214" i="2"/>
  <c r="R214" i="2" s="1"/>
  <c r="X213" i="2"/>
  <c r="W213" i="2"/>
  <c r="T213" i="2" s="1"/>
  <c r="V213" i="2"/>
  <c r="S213" i="2" s="1"/>
  <c r="U213" i="2"/>
  <c r="R213" i="2" s="1"/>
  <c r="X212" i="2"/>
  <c r="W212" i="2"/>
  <c r="T212" i="2" s="1"/>
  <c r="V212" i="2"/>
  <c r="S212" i="2" s="1"/>
  <c r="U212" i="2"/>
  <c r="R212" i="2" s="1"/>
  <c r="X230" i="2"/>
  <c r="W230" i="2"/>
  <c r="T230" i="2" s="1"/>
  <c r="V230" i="2"/>
  <c r="S230" i="2" s="1"/>
  <c r="X229" i="2"/>
  <c r="W229" i="2"/>
  <c r="T229" i="2" s="1"/>
  <c r="V229" i="2"/>
  <c r="S229" i="2" s="1"/>
  <c r="X228" i="2"/>
  <c r="W228" i="2"/>
  <c r="T228" i="2" s="1"/>
  <c r="V228" i="2"/>
  <c r="S228" i="2" s="1"/>
  <c r="X227" i="2"/>
  <c r="W227" i="2"/>
  <c r="T227" i="2" s="1"/>
  <c r="V227" i="2"/>
  <c r="S227" i="2" s="1"/>
  <c r="X226" i="2"/>
  <c r="W226" i="2"/>
  <c r="T226" i="2" s="1"/>
  <c r="V226" i="2"/>
  <c r="S226" i="2" s="1"/>
  <c r="U226" i="2"/>
  <c r="R226" i="2" s="1"/>
  <c r="X225" i="2"/>
  <c r="W225" i="2"/>
  <c r="T225" i="2" s="1"/>
  <c r="V225" i="2"/>
  <c r="S225" i="2" s="1"/>
  <c r="X224" i="2"/>
  <c r="W224" i="2"/>
  <c r="T224" i="2" s="1"/>
  <c r="V224" i="2"/>
  <c r="S224" i="2" s="1"/>
  <c r="X223" i="2"/>
  <c r="W223" i="2"/>
  <c r="T223" i="2" s="1"/>
  <c r="V223" i="2"/>
  <c r="S223" i="2" s="1"/>
  <c r="X222" i="2"/>
  <c r="W222" i="2"/>
  <c r="T222" i="2" s="1"/>
  <c r="V222" i="2"/>
  <c r="S222" i="2" s="1"/>
  <c r="AD180" i="2" l="1"/>
  <c r="AC180" i="2"/>
  <c r="AC188" i="2"/>
  <c r="AD188" i="2"/>
  <c r="AD196" i="2"/>
  <c r="AC196" i="2"/>
  <c r="AC204" i="2"/>
  <c r="AD204" i="2"/>
  <c r="AD212" i="2"/>
  <c r="AC212" i="2"/>
  <c r="AC220" i="2"/>
  <c r="AD220" i="2"/>
  <c r="AD228" i="2"/>
  <c r="AC228" i="2"/>
  <c r="AD461" i="2"/>
  <c r="AC461" i="2"/>
  <c r="AC452" i="2"/>
  <c r="AD452" i="2"/>
  <c r="AD408" i="2"/>
  <c r="AC408" i="2"/>
  <c r="AC373" i="2"/>
  <c r="AD373" i="2"/>
  <c r="AD370" i="2"/>
  <c r="AC370" i="2"/>
  <c r="AD334" i="2"/>
  <c r="AC334" i="2"/>
  <c r="AC331" i="2"/>
  <c r="AD331" i="2"/>
  <c r="AC308" i="2"/>
  <c r="AD308" i="2"/>
  <c r="AD305" i="2"/>
  <c r="AC305" i="2"/>
  <c r="AC299" i="2"/>
  <c r="AD299" i="2"/>
  <c r="AC296" i="2"/>
  <c r="AD296" i="2"/>
  <c r="AC282" i="2"/>
  <c r="AD282" i="2"/>
  <c r="AC279" i="2"/>
  <c r="AD279" i="2"/>
  <c r="AC259" i="2"/>
  <c r="AD259" i="2"/>
  <c r="AD256" i="2"/>
  <c r="AC256" i="2"/>
  <c r="AC253" i="2"/>
  <c r="AD253" i="2"/>
  <c r="AC250" i="2"/>
  <c r="AD250" i="2"/>
  <c r="AC247" i="2"/>
  <c r="AD247" i="2"/>
  <c r="AD227" i="2"/>
  <c r="AC227" i="2"/>
  <c r="AC475" i="2"/>
  <c r="AD475" i="2"/>
  <c r="AD458" i="2"/>
  <c r="AC458" i="2"/>
  <c r="AD455" i="2"/>
  <c r="AC455" i="2"/>
  <c r="AC396" i="2"/>
  <c r="AD396" i="2"/>
  <c r="AC393" i="2"/>
  <c r="AD393" i="2"/>
  <c r="AC390" i="2"/>
  <c r="AD390" i="2"/>
  <c r="AD387" i="2"/>
  <c r="AC387" i="2"/>
  <c r="AD384" i="2"/>
  <c r="AC384" i="2"/>
  <c r="AC364" i="2"/>
  <c r="AD364" i="2"/>
  <c r="AD340" i="2"/>
  <c r="AC340" i="2"/>
  <c r="AC337" i="2"/>
  <c r="AD337" i="2"/>
  <c r="AC302" i="2"/>
  <c r="AD302" i="2"/>
  <c r="AC293" i="2"/>
  <c r="AD293" i="2"/>
  <c r="AC181" i="2"/>
  <c r="AD181" i="2"/>
  <c r="AC189" i="2"/>
  <c r="AD189" i="2"/>
  <c r="AC197" i="2"/>
  <c r="AD197" i="2"/>
  <c r="AC205" i="2"/>
  <c r="AD205" i="2"/>
  <c r="AC213" i="2"/>
  <c r="AD213" i="2"/>
  <c r="AC221" i="2"/>
  <c r="AD221" i="2"/>
  <c r="AC229" i="2"/>
  <c r="AD229" i="2"/>
  <c r="AC481" i="2"/>
  <c r="AD481" i="2"/>
  <c r="AD478" i="2"/>
  <c r="AC478" i="2"/>
  <c r="AC449" i="2"/>
  <c r="AD449" i="2"/>
  <c r="AC405" i="2"/>
  <c r="AD405" i="2"/>
  <c r="AC402" i="2"/>
  <c r="AD402" i="2"/>
  <c r="AD399" i="2"/>
  <c r="AC399" i="2"/>
  <c r="AC361" i="2"/>
  <c r="AD361" i="2"/>
  <c r="AD343" i="2"/>
  <c r="AC343" i="2"/>
  <c r="AC328" i="2"/>
  <c r="AD328" i="2"/>
  <c r="AC325" i="2"/>
  <c r="AD325" i="2"/>
  <c r="AD322" i="2"/>
  <c r="AC322" i="2"/>
  <c r="AD276" i="2"/>
  <c r="AC276" i="2"/>
  <c r="AC273" i="2"/>
  <c r="AD273" i="2"/>
  <c r="AD270" i="2"/>
  <c r="AC270" i="2"/>
  <c r="AC267" i="2"/>
  <c r="AD267" i="2"/>
  <c r="AD244" i="2"/>
  <c r="AC244" i="2"/>
  <c r="AC203" i="2"/>
  <c r="AD203" i="2"/>
  <c r="AD472" i="2"/>
  <c r="AC472" i="2"/>
  <c r="AC466" i="2"/>
  <c r="AD466" i="2"/>
  <c r="AC446" i="2"/>
  <c r="AD446" i="2"/>
  <c r="AC381" i="2"/>
  <c r="AD381" i="2"/>
  <c r="AC346" i="2"/>
  <c r="AD346" i="2"/>
  <c r="AD319" i="2"/>
  <c r="AC319" i="2"/>
  <c r="AD290" i="2"/>
  <c r="AC290" i="2"/>
  <c r="AC264" i="2"/>
  <c r="AD264" i="2"/>
  <c r="AC226" i="2"/>
  <c r="AD226" i="2"/>
  <c r="AD211" i="2"/>
  <c r="AC211" i="2"/>
  <c r="AC182" i="2"/>
  <c r="AD182" i="2"/>
  <c r="AC198" i="2"/>
  <c r="AD198" i="2"/>
  <c r="AC214" i="2"/>
  <c r="AD214" i="2"/>
  <c r="AC230" i="2"/>
  <c r="AD230" i="2"/>
  <c r="AC469" i="2"/>
  <c r="AD469" i="2"/>
  <c r="AD463" i="2"/>
  <c r="AC463" i="2"/>
  <c r="AC440" i="2"/>
  <c r="AD440" i="2"/>
  <c r="AD437" i="2"/>
  <c r="AC437" i="2"/>
  <c r="AD431" i="2"/>
  <c r="AC431" i="2"/>
  <c r="AD428" i="2"/>
  <c r="AC428" i="2"/>
  <c r="AD425" i="2"/>
  <c r="AC425" i="2"/>
  <c r="AD422" i="2"/>
  <c r="AC422" i="2"/>
  <c r="AD416" i="2"/>
  <c r="AC416" i="2"/>
  <c r="AD413" i="2"/>
  <c r="AC413" i="2"/>
  <c r="AC375" i="2"/>
  <c r="AD375" i="2"/>
  <c r="AC358" i="2"/>
  <c r="AD358" i="2"/>
  <c r="AD355" i="2"/>
  <c r="AC355" i="2"/>
  <c r="AD352" i="2"/>
  <c r="AC352" i="2"/>
  <c r="AC349" i="2"/>
  <c r="AD349" i="2"/>
  <c r="AC316" i="2"/>
  <c r="AD316" i="2"/>
  <c r="AC313" i="2"/>
  <c r="AD313" i="2"/>
  <c r="AC310" i="2"/>
  <c r="AD310" i="2"/>
  <c r="AD287" i="2"/>
  <c r="AC287" i="2"/>
  <c r="AC261" i="2"/>
  <c r="AD261" i="2"/>
  <c r="AD241" i="2"/>
  <c r="AC241" i="2"/>
  <c r="AC238" i="2"/>
  <c r="AD238" i="2"/>
  <c r="AC235" i="2"/>
  <c r="AD235" i="2"/>
  <c r="AC232" i="2"/>
  <c r="AD232" i="2"/>
  <c r="AC219" i="2"/>
  <c r="AD219" i="2"/>
  <c r="AC190" i="2"/>
  <c r="AD190" i="2"/>
  <c r="AD206" i="2"/>
  <c r="AC206" i="2"/>
  <c r="AD222" i="2"/>
  <c r="AC222" i="2"/>
  <c r="AD443" i="2"/>
  <c r="AC443" i="2"/>
  <c r="AD434" i="2"/>
  <c r="AC434" i="2"/>
  <c r="AC419" i="2"/>
  <c r="AD419" i="2"/>
  <c r="AD410" i="2"/>
  <c r="AC410" i="2"/>
  <c r="AC378" i="2"/>
  <c r="AD378" i="2"/>
  <c r="AD369" i="2"/>
  <c r="AC369" i="2"/>
  <c r="AD366" i="2"/>
  <c r="AC366" i="2"/>
  <c r="AC295" i="2"/>
  <c r="AD295" i="2"/>
  <c r="AC284" i="2"/>
  <c r="AD284" i="2"/>
  <c r="AC281" i="2"/>
  <c r="AD281" i="2"/>
  <c r="AC258" i="2"/>
  <c r="AD258" i="2"/>
  <c r="AC252" i="2"/>
  <c r="AD252" i="2"/>
  <c r="AD210" i="2"/>
  <c r="AC210" i="2"/>
  <c r="AD195" i="2"/>
  <c r="AC195" i="2"/>
  <c r="AC183" i="2"/>
  <c r="AD183" i="2"/>
  <c r="AD223" i="2"/>
  <c r="AC223" i="2"/>
  <c r="AD460" i="2"/>
  <c r="AC460" i="2"/>
  <c r="AC454" i="2"/>
  <c r="AD454" i="2"/>
  <c r="AC451" i="2"/>
  <c r="AD451" i="2"/>
  <c r="AD407" i="2"/>
  <c r="AC407" i="2"/>
  <c r="AC389" i="2"/>
  <c r="AD389" i="2"/>
  <c r="AC386" i="2"/>
  <c r="AD386" i="2"/>
  <c r="AD372" i="2"/>
  <c r="AC372" i="2"/>
  <c r="AC363" i="2"/>
  <c r="AD363" i="2"/>
  <c r="AC336" i="2"/>
  <c r="AD336" i="2"/>
  <c r="AC333" i="2"/>
  <c r="AD333" i="2"/>
  <c r="AC330" i="2"/>
  <c r="AD330" i="2"/>
  <c r="AD307" i="2"/>
  <c r="AC307" i="2"/>
  <c r="AD304" i="2"/>
  <c r="AC304" i="2"/>
  <c r="AC301" i="2"/>
  <c r="AD301" i="2"/>
  <c r="AD298" i="2"/>
  <c r="AC298" i="2"/>
  <c r="AC278" i="2"/>
  <c r="AD278" i="2"/>
  <c r="AD255" i="2"/>
  <c r="AC255" i="2"/>
  <c r="AD249" i="2"/>
  <c r="AC249" i="2"/>
  <c r="AC246" i="2"/>
  <c r="AD246" i="2"/>
  <c r="AD194" i="2"/>
  <c r="AC194" i="2"/>
  <c r="AC215" i="2"/>
  <c r="AD215" i="2"/>
  <c r="AD480" i="2"/>
  <c r="AC480" i="2"/>
  <c r="AD477" i="2"/>
  <c r="AC477" i="2"/>
  <c r="AC474" i="2"/>
  <c r="AD474" i="2"/>
  <c r="AD457" i="2"/>
  <c r="AC457" i="2"/>
  <c r="AD401" i="2"/>
  <c r="AC401" i="2"/>
  <c r="AD398" i="2"/>
  <c r="AC398" i="2"/>
  <c r="AD395" i="2"/>
  <c r="AC395" i="2"/>
  <c r="AC392" i="2"/>
  <c r="AD392" i="2"/>
  <c r="AC383" i="2"/>
  <c r="AD383" i="2"/>
  <c r="AC342" i="2"/>
  <c r="AD342" i="2"/>
  <c r="AD339" i="2"/>
  <c r="AC339" i="2"/>
  <c r="AC292" i="2"/>
  <c r="AD292" i="2"/>
  <c r="AC269" i="2"/>
  <c r="AD269" i="2"/>
  <c r="AC266" i="2"/>
  <c r="AD266" i="2"/>
  <c r="AD191" i="2"/>
  <c r="AC191" i="2"/>
  <c r="AD192" i="2"/>
  <c r="AC192" i="2"/>
  <c r="AC208" i="2"/>
  <c r="AD208" i="2"/>
  <c r="AC216" i="2"/>
  <c r="AD216" i="2"/>
  <c r="AC224" i="2"/>
  <c r="AD224" i="2"/>
  <c r="AD465" i="2"/>
  <c r="AC465" i="2"/>
  <c r="AC448" i="2"/>
  <c r="AD448" i="2"/>
  <c r="AC404" i="2"/>
  <c r="AD404" i="2"/>
  <c r="AC360" i="2"/>
  <c r="AD360" i="2"/>
  <c r="AC345" i="2"/>
  <c r="AD345" i="2"/>
  <c r="AC327" i="2"/>
  <c r="AD327" i="2"/>
  <c r="AC324" i="2"/>
  <c r="AD324" i="2"/>
  <c r="AD321" i="2"/>
  <c r="AC321" i="2"/>
  <c r="AD289" i="2"/>
  <c r="AC289" i="2"/>
  <c r="AC275" i="2"/>
  <c r="AD275" i="2"/>
  <c r="AD272" i="2"/>
  <c r="AC272" i="2"/>
  <c r="AC263" i="2"/>
  <c r="AD263" i="2"/>
  <c r="AD243" i="2"/>
  <c r="AC243" i="2"/>
  <c r="AD207" i="2"/>
  <c r="AC207" i="2"/>
  <c r="AD471" i="2"/>
  <c r="AC471" i="2"/>
  <c r="AC468" i="2"/>
  <c r="AD468" i="2"/>
  <c r="AD445" i="2"/>
  <c r="AC445" i="2"/>
  <c r="AD439" i="2"/>
  <c r="AC439" i="2"/>
  <c r="AC436" i="2"/>
  <c r="AD436" i="2"/>
  <c r="AD427" i="2"/>
  <c r="AC427" i="2"/>
  <c r="AC424" i="2"/>
  <c r="AD424" i="2"/>
  <c r="AD415" i="2"/>
  <c r="AC415" i="2"/>
  <c r="AC380" i="2"/>
  <c r="AD380" i="2"/>
  <c r="AC357" i="2"/>
  <c r="AD357" i="2"/>
  <c r="AD354" i="2"/>
  <c r="AC354" i="2"/>
  <c r="AD351" i="2"/>
  <c r="AC351" i="2"/>
  <c r="AC348" i="2"/>
  <c r="AD348" i="2"/>
  <c r="AD318" i="2"/>
  <c r="AC318" i="2"/>
  <c r="AC315" i="2"/>
  <c r="AD315" i="2"/>
  <c r="AD240" i="2"/>
  <c r="AC240" i="2"/>
  <c r="AC234" i="2"/>
  <c r="AD234" i="2"/>
  <c r="AC200" i="2"/>
  <c r="AD200" i="2"/>
  <c r="AC185" i="2"/>
  <c r="AD185" i="2"/>
  <c r="AC201" i="2"/>
  <c r="AD201" i="2"/>
  <c r="AD225" i="2"/>
  <c r="AC225" i="2"/>
  <c r="AD462" i="2"/>
  <c r="AC462" i="2"/>
  <c r="AD442" i="2"/>
  <c r="AC442" i="2"/>
  <c r="AC433" i="2"/>
  <c r="AD433" i="2"/>
  <c r="AD430" i="2"/>
  <c r="AC430" i="2"/>
  <c r="AD421" i="2"/>
  <c r="AC421" i="2"/>
  <c r="AD418" i="2"/>
  <c r="AC418" i="2"/>
  <c r="AC412" i="2"/>
  <c r="AD412" i="2"/>
  <c r="AC409" i="2"/>
  <c r="AD409" i="2"/>
  <c r="AC377" i="2"/>
  <c r="AD377" i="2"/>
  <c r="AC374" i="2"/>
  <c r="AD374" i="2"/>
  <c r="AD368" i="2"/>
  <c r="AC368" i="2"/>
  <c r="AC312" i="2"/>
  <c r="AD312" i="2"/>
  <c r="AC309" i="2"/>
  <c r="AD309" i="2"/>
  <c r="AC286" i="2"/>
  <c r="AD286" i="2"/>
  <c r="AC283" i="2"/>
  <c r="AD283" i="2"/>
  <c r="AD260" i="2"/>
  <c r="AC260" i="2"/>
  <c r="AC257" i="2"/>
  <c r="AD257" i="2"/>
  <c r="AC237" i="2"/>
  <c r="AD237" i="2"/>
  <c r="AD231" i="2"/>
  <c r="AC231" i="2"/>
  <c r="AC187" i="2"/>
  <c r="AD187" i="2"/>
  <c r="AC199" i="2"/>
  <c r="AD199" i="2"/>
  <c r="AC184" i="2"/>
  <c r="AD184" i="2"/>
  <c r="AD193" i="2"/>
  <c r="AC193" i="2"/>
  <c r="AD209" i="2"/>
  <c r="AC209" i="2"/>
  <c r="AD217" i="2"/>
  <c r="AC217" i="2"/>
  <c r="AC453" i="2"/>
  <c r="AD453" i="2"/>
  <c r="AD388" i="2"/>
  <c r="AC388" i="2"/>
  <c r="AD385" i="2"/>
  <c r="AC385" i="2"/>
  <c r="AC371" i="2"/>
  <c r="AD371" i="2"/>
  <c r="AC365" i="2"/>
  <c r="AD365" i="2"/>
  <c r="AC335" i="2"/>
  <c r="AD335" i="2"/>
  <c r="AC332" i="2"/>
  <c r="AD332" i="2"/>
  <c r="AC306" i="2"/>
  <c r="AD306" i="2"/>
  <c r="AC303" i="2"/>
  <c r="AD303" i="2"/>
  <c r="AC300" i="2"/>
  <c r="AD300" i="2"/>
  <c r="AC297" i="2"/>
  <c r="AD297" i="2"/>
  <c r="AC294" i="2"/>
  <c r="AD294" i="2"/>
  <c r="AC280" i="2"/>
  <c r="AD280" i="2"/>
  <c r="AD254" i="2"/>
  <c r="AC254" i="2"/>
  <c r="AC251" i="2"/>
  <c r="AD251" i="2"/>
  <c r="AD248" i="2"/>
  <c r="AC248" i="2"/>
  <c r="AC218" i="2"/>
  <c r="AD218" i="2"/>
  <c r="AC476" i="2"/>
  <c r="AD476" i="2"/>
  <c r="AC459" i="2"/>
  <c r="AD459" i="2"/>
  <c r="AC456" i="2"/>
  <c r="AD456" i="2"/>
  <c r="AC450" i="2"/>
  <c r="AD450" i="2"/>
  <c r="AD406" i="2"/>
  <c r="AC406" i="2"/>
  <c r="AD400" i="2"/>
  <c r="AC400" i="2"/>
  <c r="AC397" i="2"/>
  <c r="AD397" i="2"/>
  <c r="AC394" i="2"/>
  <c r="AD394" i="2"/>
  <c r="AC391" i="2"/>
  <c r="AD391" i="2"/>
  <c r="AC362" i="2"/>
  <c r="AD362" i="2"/>
  <c r="AC341" i="2"/>
  <c r="AD341" i="2"/>
  <c r="AD338" i="2"/>
  <c r="AC338" i="2"/>
  <c r="AC329" i="2"/>
  <c r="AD329" i="2"/>
  <c r="AC277" i="2"/>
  <c r="AD277" i="2"/>
  <c r="AC268" i="2"/>
  <c r="AD268" i="2"/>
  <c r="AC245" i="2"/>
  <c r="AD245" i="2"/>
  <c r="AC202" i="2"/>
  <c r="AD202" i="2"/>
  <c r="AD479" i="2"/>
  <c r="AC479" i="2"/>
  <c r="AC473" i="2"/>
  <c r="AD473" i="2"/>
  <c r="AD447" i="2"/>
  <c r="AC447" i="2"/>
  <c r="AD403" i="2"/>
  <c r="AC403" i="2"/>
  <c r="AD382" i="2"/>
  <c r="AC382" i="2"/>
  <c r="AC344" i="2"/>
  <c r="AD344" i="2"/>
  <c r="AC326" i="2"/>
  <c r="AD326" i="2"/>
  <c r="AD323" i="2"/>
  <c r="AC323" i="2"/>
  <c r="AD320" i="2"/>
  <c r="AC320" i="2"/>
  <c r="AD291" i="2"/>
  <c r="AC291" i="2"/>
  <c r="AD274" i="2"/>
  <c r="AC274" i="2"/>
  <c r="AD271" i="2"/>
  <c r="AC271" i="2"/>
  <c r="AD265" i="2"/>
  <c r="AC265" i="2"/>
  <c r="AC467" i="2"/>
  <c r="AD467" i="2"/>
  <c r="AC464" i="2"/>
  <c r="AD464" i="2"/>
  <c r="AD426" i="2"/>
  <c r="AC426" i="2"/>
  <c r="AD423" i="2"/>
  <c r="AC423" i="2"/>
  <c r="AC359" i="2"/>
  <c r="AD359" i="2"/>
  <c r="AD356" i="2"/>
  <c r="AC356" i="2"/>
  <c r="AC353" i="2"/>
  <c r="AD353" i="2"/>
  <c r="AD350" i="2"/>
  <c r="AC350" i="2"/>
  <c r="AC347" i="2"/>
  <c r="AD347" i="2"/>
  <c r="AC317" i="2"/>
  <c r="AD317" i="2"/>
  <c r="AC314" i="2"/>
  <c r="AD314" i="2"/>
  <c r="AD288" i="2"/>
  <c r="AC288" i="2"/>
  <c r="AC262" i="2"/>
  <c r="AD262" i="2"/>
  <c r="AD242" i="2"/>
  <c r="AC242" i="2"/>
  <c r="AD239" i="2"/>
  <c r="AC239" i="2"/>
  <c r="AC233" i="2"/>
  <c r="AD233" i="2"/>
  <c r="AC186" i="2"/>
  <c r="AD186" i="2"/>
  <c r="AC470" i="2"/>
  <c r="AD470" i="2"/>
  <c r="AD444" i="2"/>
  <c r="AC444" i="2"/>
  <c r="AD441" i="2"/>
  <c r="AC441" i="2"/>
  <c r="AD438" i="2"/>
  <c r="AC438" i="2"/>
  <c r="AD435" i="2"/>
  <c r="AC435" i="2"/>
  <c r="AD432" i="2"/>
  <c r="AC432" i="2"/>
  <c r="AC429" i="2"/>
  <c r="AD429" i="2"/>
  <c r="AD420" i="2"/>
  <c r="AC420" i="2"/>
  <c r="AD417" i="2"/>
  <c r="AC417" i="2"/>
  <c r="AD414" i="2"/>
  <c r="AC414" i="2"/>
  <c r="AD411" i="2"/>
  <c r="AC411" i="2"/>
  <c r="AC379" i="2"/>
  <c r="AD379" i="2"/>
  <c r="AC376" i="2"/>
  <c r="AD376" i="2"/>
  <c r="AD367" i="2"/>
  <c r="AC367" i="2"/>
  <c r="AC311" i="2"/>
  <c r="AD311" i="2"/>
  <c r="AC285" i="2"/>
  <c r="AD285" i="2"/>
  <c r="AC236" i="2"/>
  <c r="AD236" i="2"/>
  <c r="K19" i="1"/>
  <c r="J19" i="1"/>
  <c r="U401" i="2" l="1"/>
  <c r="R401" i="2" s="1"/>
  <c r="U252" i="2"/>
  <c r="R252" i="2" s="1"/>
  <c r="X209" i="2"/>
  <c r="W209" i="2"/>
  <c r="T209" i="2" s="1"/>
  <c r="V209" i="2"/>
  <c r="S209" i="2" s="1"/>
  <c r="U209" i="2"/>
  <c r="R209" i="2" s="1"/>
  <c r="X195" i="2"/>
  <c r="W195" i="2"/>
  <c r="T195" i="2" s="1"/>
  <c r="V195" i="2"/>
  <c r="S195" i="2" s="1"/>
  <c r="X193" i="2"/>
  <c r="W193" i="2"/>
  <c r="T193" i="2" s="1"/>
  <c r="V193" i="2"/>
  <c r="S193" i="2" s="1"/>
  <c r="U193" i="2"/>
  <c r="R193" i="2" s="1"/>
  <c r="O62" i="2" l="1"/>
  <c r="I62" i="2"/>
  <c r="X62" i="2"/>
  <c r="W62" i="2"/>
  <c r="T62" i="2" s="1"/>
  <c r="V62" i="2"/>
  <c r="S62" i="2" s="1"/>
  <c r="AC62" i="2" l="1"/>
  <c r="AD62" i="2"/>
  <c r="A17" i="28"/>
  <c r="A57" i="28" s="1"/>
  <c r="A18" i="28"/>
  <c r="A58" i="28" s="1"/>
  <c r="A19" i="28"/>
  <c r="A59" i="28" s="1"/>
  <c r="A20" i="28"/>
  <c r="A60" i="28" s="1"/>
  <c r="A21" i="28"/>
  <c r="A61" i="28" s="1"/>
  <c r="X120" i="2"/>
  <c r="W120" i="2"/>
  <c r="T120" i="2" s="1"/>
  <c r="V120" i="2"/>
  <c r="S120" i="2" s="1"/>
  <c r="O120" i="2"/>
  <c r="I120" i="2"/>
  <c r="AD120" i="2" l="1"/>
  <c r="AC120" i="2"/>
  <c r="K46" i="1"/>
  <c r="J46" i="1"/>
  <c r="X117" i="2"/>
  <c r="W117" i="2"/>
  <c r="T117" i="2" s="1"/>
  <c r="V117" i="2"/>
  <c r="S117" i="2" s="1"/>
  <c r="U117" i="2"/>
  <c r="R117" i="2" s="1"/>
  <c r="O117" i="2"/>
  <c r="I117" i="2"/>
  <c r="X116" i="2"/>
  <c r="W116" i="2"/>
  <c r="T116" i="2" s="1"/>
  <c r="V116" i="2"/>
  <c r="S116" i="2" s="1"/>
  <c r="U116" i="2"/>
  <c r="R116" i="2" s="1"/>
  <c r="O116" i="2"/>
  <c r="I116" i="2"/>
  <c r="X115" i="2"/>
  <c r="W115" i="2"/>
  <c r="T115" i="2" s="1"/>
  <c r="V115" i="2"/>
  <c r="S115" i="2" s="1"/>
  <c r="U115" i="2"/>
  <c r="R115" i="2" s="1"/>
  <c r="O115" i="2"/>
  <c r="I115" i="2"/>
  <c r="X114" i="2"/>
  <c r="W114" i="2"/>
  <c r="T114" i="2" s="1"/>
  <c r="V114" i="2"/>
  <c r="S114" i="2" s="1"/>
  <c r="U114" i="2"/>
  <c r="R114" i="2" s="1"/>
  <c r="O114" i="2"/>
  <c r="I114" i="2"/>
  <c r="B57" i="28"/>
  <c r="C57" i="28"/>
  <c r="D57" i="28"/>
  <c r="B58" i="28"/>
  <c r="C58" i="28"/>
  <c r="D58" i="28"/>
  <c r="B59" i="28"/>
  <c r="C59" i="28"/>
  <c r="D59" i="28"/>
  <c r="B60" i="28"/>
  <c r="D60" i="28" s="1"/>
  <c r="C60" i="28"/>
  <c r="B61" i="28"/>
  <c r="D61" i="28" s="1"/>
  <c r="C61" i="28"/>
  <c r="X65" i="2"/>
  <c r="W65" i="2"/>
  <c r="T65" i="2" s="1"/>
  <c r="V65" i="2"/>
  <c r="S65" i="2" s="1"/>
  <c r="U65" i="2"/>
  <c r="R65" i="2" s="1"/>
  <c r="O65" i="2"/>
  <c r="I65" i="2"/>
  <c r="X64" i="2"/>
  <c r="W64" i="2"/>
  <c r="T64" i="2" s="1"/>
  <c r="V64" i="2"/>
  <c r="S64" i="2" s="1"/>
  <c r="U64" i="2"/>
  <c r="R64" i="2" s="1"/>
  <c r="O64" i="2"/>
  <c r="I64" i="2"/>
  <c r="X63" i="2"/>
  <c r="W63" i="2"/>
  <c r="T63" i="2" s="1"/>
  <c r="V63" i="2"/>
  <c r="S63" i="2" s="1"/>
  <c r="O63" i="2"/>
  <c r="I63" i="2"/>
  <c r="AC63" i="2" l="1"/>
  <c r="AD63" i="2"/>
  <c r="AD65" i="2"/>
  <c r="AC65" i="2"/>
  <c r="AD116" i="2"/>
  <c r="AC116" i="2"/>
  <c r="AD114" i="2"/>
  <c r="AC114" i="2"/>
  <c r="AC117" i="2"/>
  <c r="AD117" i="2"/>
  <c r="AD115" i="2"/>
  <c r="AC115" i="2"/>
  <c r="AC64" i="2"/>
  <c r="AD64" i="2"/>
  <c r="U285" i="2"/>
  <c r="R285" i="2" s="1"/>
  <c r="U344" i="2"/>
  <c r="R344" i="2" s="1"/>
  <c r="U369" i="2"/>
  <c r="R369" i="2" s="1"/>
  <c r="U394" i="2"/>
  <c r="R394" i="2" s="1"/>
  <c r="U225" i="2"/>
  <c r="R225" i="2" s="1"/>
  <c r="U230" i="2"/>
  <c r="R230" i="2" s="1"/>
  <c r="U233" i="2"/>
  <c r="R233" i="2" s="1"/>
  <c r="U335" i="2"/>
  <c r="R335" i="2" s="1"/>
  <c r="U351" i="2"/>
  <c r="R351" i="2" s="1"/>
  <c r="U442" i="2"/>
  <c r="R442" i="2" s="1"/>
  <c r="U458" i="2"/>
  <c r="R458" i="2" s="1"/>
  <c r="U240" i="2"/>
  <c r="R240" i="2" s="1"/>
  <c r="U274" i="2"/>
  <c r="R274" i="2" s="1"/>
  <c r="U310" i="2"/>
  <c r="R310" i="2" s="1"/>
  <c r="U326" i="2"/>
  <c r="R326" i="2" s="1"/>
  <c r="U342" i="2"/>
  <c r="R342" i="2" s="1"/>
  <c r="U367" i="2"/>
  <c r="R367" i="2" s="1"/>
  <c r="U433" i="2"/>
  <c r="R433" i="2" s="1"/>
  <c r="U299" i="2"/>
  <c r="R299" i="2" s="1"/>
  <c r="U317" i="2"/>
  <c r="R317" i="2" s="1"/>
  <c r="U481" i="2"/>
  <c r="R481" i="2" s="1"/>
  <c r="U229" i="2"/>
  <c r="R229" i="2" s="1"/>
  <c r="U281" i="2"/>
  <c r="R281" i="2" s="1"/>
  <c r="U390" i="2"/>
  <c r="R390" i="2" s="1"/>
  <c r="U447" i="2"/>
  <c r="R447" i="2" s="1"/>
  <c r="U247" i="2"/>
  <c r="R247" i="2" s="1"/>
  <c r="U347" i="2"/>
  <c r="R347" i="2" s="1"/>
  <c r="U397" i="2"/>
  <c r="R397" i="2" s="1"/>
  <c r="U413" i="2"/>
  <c r="R413" i="2" s="1"/>
  <c r="U236" i="2"/>
  <c r="R236" i="2" s="1"/>
  <c r="U270" i="2"/>
  <c r="R270" i="2" s="1"/>
  <c r="U279" i="2"/>
  <c r="R279" i="2" s="1"/>
  <c r="U306" i="2"/>
  <c r="R306" i="2" s="1"/>
  <c r="U354" i="2"/>
  <c r="R354" i="2" s="1"/>
  <c r="U429" i="2"/>
  <c r="R429" i="2" s="1"/>
  <c r="U345" i="2"/>
  <c r="R345" i="2" s="1"/>
  <c r="U370" i="2"/>
  <c r="R370" i="2" s="1"/>
  <c r="U436" i="2"/>
  <c r="R436" i="2" s="1"/>
  <c r="U477" i="2"/>
  <c r="R477" i="2" s="1"/>
  <c r="U228" i="2"/>
  <c r="R228" i="2" s="1"/>
  <c r="U224" i="2"/>
  <c r="R224" i="2" s="1"/>
  <c r="U234" i="2"/>
  <c r="R234" i="2" s="1"/>
  <c r="U268" i="2"/>
  <c r="R268" i="2" s="1"/>
  <c r="U320" i="2"/>
  <c r="R320" i="2" s="1"/>
  <c r="U402" i="2"/>
  <c r="R402" i="2" s="1"/>
  <c r="U427" i="2"/>
  <c r="R427" i="2" s="1"/>
  <c r="U468" i="2"/>
  <c r="R468" i="2" s="1"/>
  <c r="U343" i="2"/>
  <c r="R343" i="2" s="1"/>
  <c r="U368" i="2"/>
  <c r="R368" i="2" s="1"/>
  <c r="U409" i="2"/>
  <c r="R409" i="2" s="1"/>
  <c r="U475" i="2"/>
  <c r="R475" i="2" s="1"/>
  <c r="U250" i="2"/>
  <c r="R250" i="2" s="1"/>
  <c r="U350" i="2"/>
  <c r="R350" i="2" s="1"/>
  <c r="U375" i="2"/>
  <c r="R375" i="2" s="1"/>
  <c r="U400" i="2"/>
  <c r="R400" i="2" s="1"/>
  <c r="U239" i="2"/>
  <c r="R239" i="2" s="1"/>
  <c r="U257" i="2"/>
  <c r="R257" i="2" s="1"/>
  <c r="U300" i="2"/>
  <c r="R300" i="2" s="1"/>
  <c r="U341" i="2"/>
  <c r="R341" i="2" s="1"/>
  <c r="U357" i="2"/>
  <c r="R357" i="2" s="1"/>
  <c r="U391" i="2"/>
  <c r="R391" i="2" s="1"/>
  <c r="U432" i="2"/>
  <c r="R432" i="2" s="1"/>
  <c r="U248" i="2"/>
  <c r="R248" i="2" s="1"/>
  <c r="U289" i="2"/>
  <c r="R289" i="2" s="1"/>
  <c r="U332" i="2"/>
  <c r="R332" i="2" s="1"/>
  <c r="U348" i="2"/>
  <c r="R348" i="2" s="1"/>
  <c r="U455" i="2"/>
  <c r="R455" i="2" s="1"/>
  <c r="U480" i="2"/>
  <c r="R480" i="2" s="1"/>
  <c r="U271" i="2"/>
  <c r="R271" i="2" s="1"/>
  <c r="U323" i="2"/>
  <c r="R323" i="2" s="1"/>
  <c r="U296" i="2"/>
  <c r="R296" i="2" s="1"/>
  <c r="U314" i="2"/>
  <c r="R314" i="2" s="1"/>
  <c r="U346" i="2"/>
  <c r="R346" i="2" s="1"/>
  <c r="U371" i="2"/>
  <c r="R371" i="2" s="1"/>
  <c r="U437" i="2"/>
  <c r="R437" i="2" s="1"/>
  <c r="U478" i="2"/>
  <c r="R478" i="2" s="1"/>
  <c r="U235" i="2"/>
  <c r="R235" i="2" s="1"/>
  <c r="U269" i="2"/>
  <c r="R269" i="2" s="1"/>
  <c r="U337" i="2"/>
  <c r="R337" i="2" s="1"/>
  <c r="U428" i="2"/>
  <c r="R428" i="2" s="1"/>
  <c r="K24" i="1" l="1"/>
  <c r="U62" i="2"/>
  <c r="R62" i="2" s="1"/>
  <c r="K34" i="1"/>
  <c r="J34" i="1"/>
  <c r="U426" i="2" l="1"/>
  <c r="R426" i="2" s="1"/>
  <c r="U283" i="2"/>
  <c r="R283" i="2" s="1"/>
  <c r="U301" i="2"/>
  <c r="R301" i="2" s="1"/>
  <c r="U456" i="2"/>
  <c r="R456" i="2" s="1"/>
  <c r="U340" i="2"/>
  <c r="R340" i="2" s="1"/>
  <c r="U431" i="2"/>
  <c r="R431" i="2" s="1"/>
  <c r="U215" i="2"/>
  <c r="R215" i="2" s="1"/>
  <c r="U254" i="2"/>
  <c r="R254" i="2" s="1"/>
  <c r="U295" i="2"/>
  <c r="R295" i="2" s="1"/>
  <c r="U420" i="2"/>
  <c r="R420" i="2" s="1"/>
  <c r="U336" i="2"/>
  <c r="R336" i="2" s="1"/>
  <c r="U273" i="2"/>
  <c r="R273" i="2" s="1"/>
  <c r="U227" i="2"/>
  <c r="R227" i="2" s="1"/>
  <c r="U398" i="2"/>
  <c r="R398" i="2" s="1"/>
  <c r="U253" i="2"/>
  <c r="R253" i="2" s="1"/>
  <c r="J24" i="1"/>
  <c r="U476" i="2"/>
  <c r="R476" i="2" s="1"/>
  <c r="U303" i="2"/>
  <c r="R303" i="2" s="1"/>
  <c r="U376" i="2"/>
  <c r="R376" i="2" s="1"/>
  <c r="U385" i="2"/>
  <c r="R385" i="2" s="1"/>
  <c r="U467" i="2"/>
  <c r="R467" i="2" s="1"/>
  <c r="U258" i="2"/>
  <c r="R258" i="2" s="1"/>
  <c r="U417" i="2"/>
  <c r="R417" i="2" s="1"/>
  <c r="U424" i="2"/>
  <c r="R424" i="2" s="1"/>
  <c r="U440" i="2"/>
  <c r="R440" i="2" s="1"/>
  <c r="U465" i="2"/>
  <c r="R465" i="2" s="1"/>
  <c r="U356" i="2"/>
  <c r="R356" i="2" s="1"/>
  <c r="U415" i="2"/>
  <c r="R415" i="2" s="1"/>
  <c r="U263" i="2"/>
  <c r="R263" i="2" s="1"/>
  <c r="U297" i="2"/>
  <c r="R297" i="2" s="1"/>
  <c r="U315" i="2"/>
  <c r="R315" i="2" s="1"/>
  <c r="U331" i="2"/>
  <c r="R331" i="2" s="1"/>
  <c r="U363" i="2"/>
  <c r="R363" i="2" s="1"/>
  <c r="U454" i="2"/>
  <c r="R454" i="2" s="1"/>
  <c r="U322" i="2"/>
  <c r="R322" i="2" s="1"/>
  <c r="U338" i="2"/>
  <c r="R338" i="2" s="1"/>
  <c r="U388" i="2"/>
  <c r="R388" i="2" s="1"/>
  <c r="U411" i="2"/>
  <c r="R411" i="2" s="1"/>
  <c r="U452" i="2"/>
  <c r="R452" i="2" s="1"/>
  <c r="U222" i="2"/>
  <c r="R222" i="2" s="1"/>
  <c r="U377" i="2"/>
  <c r="R377" i="2" s="1"/>
  <c r="U386" i="2"/>
  <c r="R386" i="2" s="1"/>
  <c r="U311" i="2"/>
  <c r="R311" i="2" s="1"/>
  <c r="U393" i="2"/>
  <c r="R393" i="2" s="1"/>
  <c r="U418" i="2"/>
  <c r="R418" i="2" s="1"/>
  <c r="U266" i="2"/>
  <c r="R266" i="2" s="1"/>
  <c r="U334" i="2"/>
  <c r="R334" i="2" s="1"/>
  <c r="U441" i="2"/>
  <c r="R441" i="2" s="1"/>
  <c r="U466" i="2"/>
  <c r="R466" i="2" s="1"/>
  <c r="U325" i="2"/>
  <c r="R325" i="2" s="1"/>
  <c r="U416" i="2"/>
  <c r="R416" i="2" s="1"/>
  <c r="U223" i="2"/>
  <c r="R223" i="2" s="1"/>
  <c r="U423" i="2"/>
  <c r="R423" i="2" s="1"/>
  <c r="U439" i="2"/>
  <c r="R439" i="2" s="1"/>
  <c r="U389" i="2"/>
  <c r="R389" i="2" s="1"/>
  <c r="U396" i="2"/>
  <c r="R396" i="2" s="1"/>
  <c r="U453" i="2"/>
  <c r="R453" i="2" s="1"/>
  <c r="U305" i="2"/>
  <c r="R305" i="2" s="1"/>
  <c r="U353" i="2"/>
  <c r="R353" i="2" s="1"/>
  <c r="U403" i="2"/>
  <c r="R403" i="2" s="1"/>
  <c r="U469" i="2"/>
  <c r="R469" i="2" s="1"/>
  <c r="U195" i="2"/>
  <c r="R195" i="2" s="1"/>
  <c r="U120" i="2"/>
  <c r="R120" i="2" s="1"/>
  <c r="U63" i="2"/>
  <c r="R63" i="2" s="1"/>
  <c r="O14" i="2" l="1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8" i="2"/>
  <c r="O119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T51" i="55"/>
  <c r="O51" i="55"/>
  <c r="T50" i="55"/>
  <c r="O50" i="55"/>
  <c r="T49" i="55"/>
  <c r="O49" i="55"/>
  <c r="T48" i="55"/>
  <c r="O48" i="55"/>
  <c r="T47" i="55"/>
  <c r="O47" i="55"/>
  <c r="T46" i="55"/>
  <c r="O46" i="55"/>
  <c r="AC87" i="2" l="1"/>
  <c r="AD87" i="2"/>
  <c r="AC71" i="2"/>
  <c r="AD71" i="2"/>
  <c r="AD51" i="2"/>
  <c r="AC51" i="2"/>
  <c r="AC35" i="2"/>
  <c r="AD35" i="2"/>
  <c r="AC19" i="2"/>
  <c r="AD19" i="2"/>
  <c r="AC139" i="2"/>
  <c r="AD139" i="2"/>
  <c r="AC70" i="2"/>
  <c r="AD70" i="2"/>
  <c r="AD50" i="2"/>
  <c r="AC50" i="2"/>
  <c r="AD34" i="2"/>
  <c r="AC34" i="2"/>
  <c r="AD18" i="2"/>
  <c r="AC18" i="2"/>
  <c r="AC171" i="2"/>
  <c r="AD171" i="2"/>
  <c r="AC138" i="2"/>
  <c r="AD138" i="2"/>
  <c r="AC122" i="2"/>
  <c r="AD122" i="2"/>
  <c r="AC101" i="2"/>
  <c r="AD101" i="2"/>
  <c r="AC85" i="2"/>
  <c r="AD85" i="2"/>
  <c r="AC69" i="2"/>
  <c r="AD69" i="2"/>
  <c r="AD49" i="2"/>
  <c r="AC49" i="2"/>
  <c r="AC33" i="2"/>
  <c r="AD33" i="2"/>
  <c r="AD17" i="2"/>
  <c r="AC17" i="2"/>
  <c r="AC140" i="2"/>
  <c r="AD140" i="2"/>
  <c r="AC137" i="2"/>
  <c r="AD137" i="2"/>
  <c r="AC121" i="2"/>
  <c r="AD121" i="2"/>
  <c r="AD100" i="2"/>
  <c r="AC100" i="2"/>
  <c r="AD84" i="2"/>
  <c r="AC84" i="2"/>
  <c r="AC68" i="2"/>
  <c r="AD68" i="2"/>
  <c r="AD48" i="2"/>
  <c r="AC48" i="2"/>
  <c r="AD32" i="2"/>
  <c r="AC32" i="2"/>
  <c r="AC16" i="2"/>
  <c r="AD16" i="2"/>
  <c r="AC156" i="2"/>
  <c r="AD156" i="2"/>
  <c r="AC152" i="2"/>
  <c r="AD152" i="2"/>
  <c r="AD83" i="2"/>
  <c r="AC83" i="2"/>
  <c r="AD67" i="2"/>
  <c r="AC67" i="2"/>
  <c r="AD47" i="2"/>
  <c r="AC47" i="2"/>
  <c r="AD31" i="2"/>
  <c r="AC31" i="2"/>
  <c r="AD15" i="2"/>
  <c r="AC15" i="2"/>
  <c r="AC169" i="2"/>
  <c r="AD169" i="2"/>
  <c r="AD46" i="2"/>
  <c r="AC46" i="2"/>
  <c r="AC30" i="2"/>
  <c r="AD30" i="2"/>
  <c r="AD14" i="2"/>
  <c r="AC14" i="2"/>
  <c r="AD172" i="2"/>
  <c r="AC172" i="2"/>
  <c r="AC153" i="2"/>
  <c r="AD153" i="2"/>
  <c r="AC167" i="2"/>
  <c r="AD167" i="2"/>
  <c r="AC134" i="2"/>
  <c r="AD134" i="2"/>
  <c r="AD113" i="2"/>
  <c r="AC113" i="2"/>
  <c r="AC97" i="2"/>
  <c r="AD97" i="2"/>
  <c r="AD81" i="2"/>
  <c r="AC81" i="2"/>
  <c r="AC61" i="2"/>
  <c r="AD61" i="2"/>
  <c r="AC45" i="2"/>
  <c r="AD45" i="2"/>
  <c r="AC29" i="2"/>
  <c r="AD29" i="2"/>
  <c r="AC124" i="2"/>
  <c r="AD124" i="2"/>
  <c r="AC168" i="2"/>
  <c r="AD168" i="2"/>
  <c r="AC151" i="2"/>
  <c r="AD151" i="2"/>
  <c r="AC165" i="2"/>
  <c r="AD165" i="2"/>
  <c r="AC149" i="2"/>
  <c r="AD149" i="2"/>
  <c r="AC133" i="2"/>
  <c r="AD133" i="2"/>
  <c r="AC112" i="2"/>
  <c r="AD112" i="2"/>
  <c r="AD96" i="2"/>
  <c r="AC96" i="2"/>
  <c r="AC80" i="2"/>
  <c r="AD80" i="2"/>
  <c r="AC60" i="2"/>
  <c r="AD60" i="2"/>
  <c r="AC44" i="2"/>
  <c r="AD44" i="2"/>
  <c r="AC28" i="2"/>
  <c r="AD28" i="2"/>
  <c r="AC123" i="2"/>
  <c r="AD123" i="2"/>
  <c r="AC118" i="2"/>
  <c r="AD118" i="2"/>
  <c r="AD164" i="2"/>
  <c r="AC164" i="2"/>
  <c r="AC148" i="2"/>
  <c r="AD148" i="2"/>
  <c r="AD132" i="2"/>
  <c r="AC132" i="2"/>
  <c r="AD111" i="2"/>
  <c r="AC111" i="2"/>
  <c r="AD95" i="2"/>
  <c r="AC95" i="2"/>
  <c r="AC79" i="2"/>
  <c r="AD79" i="2"/>
  <c r="AD59" i="2"/>
  <c r="AC59" i="2"/>
  <c r="AC43" i="2"/>
  <c r="AD43" i="2"/>
  <c r="AC27" i="2"/>
  <c r="AD27" i="2"/>
  <c r="AD170" i="2"/>
  <c r="AC170" i="2"/>
  <c r="AC135" i="2"/>
  <c r="AD135" i="2"/>
  <c r="AD110" i="2"/>
  <c r="AC110" i="2"/>
  <c r="AD94" i="2"/>
  <c r="AC94" i="2"/>
  <c r="AC78" i="2"/>
  <c r="AD78" i="2"/>
  <c r="AC58" i="2"/>
  <c r="AD58" i="2"/>
  <c r="AD42" i="2"/>
  <c r="AC42" i="2"/>
  <c r="AD26" i="2"/>
  <c r="AC26" i="2"/>
  <c r="AC154" i="2"/>
  <c r="AD154" i="2"/>
  <c r="AD82" i="2"/>
  <c r="AC82" i="2"/>
  <c r="AC179" i="2"/>
  <c r="AD179" i="2"/>
  <c r="AD178" i="2"/>
  <c r="AC178" i="2"/>
  <c r="AD162" i="2"/>
  <c r="AC162" i="2"/>
  <c r="AC146" i="2"/>
  <c r="AD146" i="2"/>
  <c r="AD130" i="2"/>
  <c r="AC130" i="2"/>
  <c r="AC109" i="2"/>
  <c r="AD109" i="2"/>
  <c r="AC93" i="2"/>
  <c r="AD93" i="2"/>
  <c r="AC77" i="2"/>
  <c r="AD77" i="2"/>
  <c r="AC57" i="2"/>
  <c r="AD57" i="2"/>
  <c r="AC41" i="2"/>
  <c r="AD41" i="2"/>
  <c r="AD25" i="2"/>
  <c r="AC25" i="2"/>
  <c r="AD102" i="2"/>
  <c r="AC102" i="2"/>
  <c r="AD66" i="2"/>
  <c r="AC66" i="2"/>
  <c r="AD163" i="2"/>
  <c r="AC163" i="2"/>
  <c r="AD177" i="2"/>
  <c r="AC177" i="2"/>
  <c r="AD161" i="2"/>
  <c r="AC161" i="2"/>
  <c r="AD145" i="2"/>
  <c r="AC145" i="2"/>
  <c r="AD129" i="2"/>
  <c r="AC129" i="2"/>
  <c r="AC108" i="2"/>
  <c r="AD108" i="2"/>
  <c r="AC92" i="2"/>
  <c r="AD92" i="2"/>
  <c r="AC76" i="2"/>
  <c r="AD76" i="2"/>
  <c r="AC56" i="2"/>
  <c r="AD56" i="2"/>
  <c r="AC40" i="2"/>
  <c r="AD40" i="2"/>
  <c r="AC24" i="2"/>
  <c r="AD24" i="2"/>
  <c r="AC86" i="2"/>
  <c r="AD86" i="2"/>
  <c r="AC98" i="2"/>
  <c r="AD98" i="2"/>
  <c r="AD147" i="2"/>
  <c r="AC147" i="2"/>
  <c r="AD144" i="2"/>
  <c r="AC144" i="2"/>
  <c r="AC107" i="2"/>
  <c r="AD107" i="2"/>
  <c r="AC91" i="2"/>
  <c r="AD91" i="2"/>
  <c r="AC75" i="2"/>
  <c r="AD75" i="2"/>
  <c r="AC55" i="2"/>
  <c r="AD55" i="2"/>
  <c r="AD39" i="2"/>
  <c r="AC39" i="2"/>
  <c r="AC23" i="2"/>
  <c r="AD23" i="2"/>
  <c r="AC119" i="2"/>
  <c r="AD119" i="2"/>
  <c r="AC150" i="2"/>
  <c r="AD150" i="2"/>
  <c r="AD160" i="2"/>
  <c r="AC160" i="2"/>
  <c r="AC127" i="2"/>
  <c r="AD127" i="2"/>
  <c r="AC106" i="2"/>
  <c r="AD106" i="2"/>
  <c r="AC90" i="2"/>
  <c r="AD90" i="2"/>
  <c r="AC74" i="2"/>
  <c r="AD74" i="2"/>
  <c r="AC54" i="2"/>
  <c r="AD54" i="2"/>
  <c r="AC38" i="2"/>
  <c r="AD38" i="2"/>
  <c r="AD22" i="2"/>
  <c r="AC22" i="2"/>
  <c r="AC155" i="2"/>
  <c r="AD155" i="2"/>
  <c r="AC136" i="2"/>
  <c r="AD136" i="2"/>
  <c r="AD131" i="2"/>
  <c r="AC131" i="2"/>
  <c r="AD176" i="2"/>
  <c r="AC176" i="2"/>
  <c r="AC175" i="2"/>
  <c r="AD175" i="2"/>
  <c r="AD174" i="2"/>
  <c r="AC174" i="2"/>
  <c r="AD142" i="2"/>
  <c r="AC142" i="2"/>
  <c r="AC105" i="2"/>
  <c r="AD105" i="2"/>
  <c r="AC89" i="2"/>
  <c r="AD89" i="2"/>
  <c r="AC73" i="2"/>
  <c r="AD73" i="2"/>
  <c r="AC53" i="2"/>
  <c r="AD53" i="2"/>
  <c r="AC37" i="2"/>
  <c r="AD37" i="2"/>
  <c r="AC21" i="2"/>
  <c r="AD21" i="2"/>
  <c r="AC103" i="2"/>
  <c r="AD103" i="2"/>
  <c r="AD99" i="2"/>
  <c r="AC99" i="2"/>
  <c r="AC166" i="2"/>
  <c r="AD166" i="2"/>
  <c r="AC128" i="2"/>
  <c r="AD128" i="2"/>
  <c r="AD159" i="2"/>
  <c r="AC159" i="2"/>
  <c r="AD143" i="2"/>
  <c r="AC143" i="2"/>
  <c r="AC158" i="2"/>
  <c r="AD158" i="2"/>
  <c r="AD126" i="2"/>
  <c r="AC126" i="2"/>
  <c r="AC173" i="2"/>
  <c r="AD173" i="2"/>
  <c r="AC157" i="2"/>
  <c r="AD157" i="2"/>
  <c r="AC141" i="2"/>
  <c r="AD141" i="2"/>
  <c r="AC125" i="2"/>
  <c r="AD125" i="2"/>
  <c r="AD104" i="2"/>
  <c r="AC104" i="2"/>
  <c r="AC88" i="2"/>
  <c r="AD88" i="2"/>
  <c r="AD72" i="2"/>
  <c r="AC72" i="2"/>
  <c r="AC52" i="2"/>
  <c r="AD52" i="2"/>
  <c r="AD36" i="2"/>
  <c r="AC36" i="2"/>
  <c r="AD20" i="2"/>
  <c r="AC20" i="2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P16" i="55"/>
  <c r="O16" i="55"/>
  <c r="T16" i="55"/>
  <c r="K31" i="1" l="1"/>
  <c r="W14" i="2"/>
  <c r="T14" i="2" s="1"/>
  <c r="X14" i="2"/>
  <c r="V15" i="2"/>
  <c r="S15" i="2" s="1"/>
  <c r="W15" i="2"/>
  <c r="T15" i="2" s="1"/>
  <c r="X15" i="2"/>
  <c r="V16" i="2"/>
  <c r="S16" i="2" s="1"/>
  <c r="W16" i="2"/>
  <c r="T16" i="2" s="1"/>
  <c r="X16" i="2"/>
  <c r="V17" i="2"/>
  <c r="S17" i="2" s="1"/>
  <c r="W17" i="2"/>
  <c r="T17" i="2" s="1"/>
  <c r="X17" i="2"/>
  <c r="V18" i="2"/>
  <c r="S18" i="2" s="1"/>
  <c r="W18" i="2"/>
  <c r="T18" i="2" s="1"/>
  <c r="X18" i="2"/>
  <c r="V19" i="2"/>
  <c r="S19" i="2" s="1"/>
  <c r="W19" i="2"/>
  <c r="T19" i="2" s="1"/>
  <c r="X19" i="2"/>
  <c r="V20" i="2"/>
  <c r="S20" i="2" s="1"/>
  <c r="W20" i="2"/>
  <c r="T20" i="2" s="1"/>
  <c r="X20" i="2"/>
  <c r="W21" i="2"/>
  <c r="T21" i="2" s="1"/>
  <c r="X21" i="2"/>
  <c r="W22" i="2"/>
  <c r="T22" i="2" s="1"/>
  <c r="X22" i="2"/>
  <c r="V23" i="2"/>
  <c r="S23" i="2" s="1"/>
  <c r="W23" i="2"/>
  <c r="T23" i="2" s="1"/>
  <c r="X23" i="2"/>
  <c r="V24" i="2"/>
  <c r="S24" i="2" s="1"/>
  <c r="W24" i="2"/>
  <c r="T24" i="2" s="1"/>
  <c r="X24" i="2"/>
  <c r="V25" i="2"/>
  <c r="S25" i="2" s="1"/>
  <c r="W25" i="2"/>
  <c r="T25" i="2" s="1"/>
  <c r="X25" i="2"/>
  <c r="V26" i="2"/>
  <c r="S26" i="2" s="1"/>
  <c r="W26" i="2"/>
  <c r="T26" i="2" s="1"/>
  <c r="X26" i="2"/>
  <c r="W27" i="2"/>
  <c r="T27" i="2" s="1"/>
  <c r="X27" i="2"/>
  <c r="V28" i="2"/>
  <c r="S28" i="2" s="1"/>
  <c r="W28" i="2"/>
  <c r="T28" i="2" s="1"/>
  <c r="X28" i="2"/>
  <c r="V29" i="2"/>
  <c r="S29" i="2" s="1"/>
  <c r="W29" i="2"/>
  <c r="T29" i="2" s="1"/>
  <c r="X29" i="2"/>
  <c r="V30" i="2"/>
  <c r="S30" i="2" s="1"/>
  <c r="W30" i="2"/>
  <c r="T30" i="2" s="1"/>
  <c r="X30" i="2"/>
  <c r="V31" i="2"/>
  <c r="S31" i="2" s="1"/>
  <c r="W31" i="2"/>
  <c r="T31" i="2" s="1"/>
  <c r="X31" i="2"/>
  <c r="V32" i="2"/>
  <c r="S32" i="2" s="1"/>
  <c r="W32" i="2"/>
  <c r="T32" i="2" s="1"/>
  <c r="X32" i="2"/>
  <c r="V33" i="2"/>
  <c r="S33" i="2" s="1"/>
  <c r="W33" i="2"/>
  <c r="T33" i="2" s="1"/>
  <c r="X33" i="2"/>
  <c r="W34" i="2"/>
  <c r="T34" i="2" s="1"/>
  <c r="X34" i="2"/>
  <c r="V35" i="2"/>
  <c r="S35" i="2" s="1"/>
  <c r="W35" i="2"/>
  <c r="T35" i="2" s="1"/>
  <c r="X35" i="2"/>
  <c r="V36" i="2"/>
  <c r="S36" i="2" s="1"/>
  <c r="W36" i="2"/>
  <c r="T36" i="2" s="1"/>
  <c r="X36" i="2"/>
  <c r="V37" i="2"/>
  <c r="S37" i="2" s="1"/>
  <c r="W37" i="2"/>
  <c r="T37" i="2" s="1"/>
  <c r="X37" i="2"/>
  <c r="V38" i="2"/>
  <c r="S38" i="2" s="1"/>
  <c r="W38" i="2"/>
  <c r="T38" i="2" s="1"/>
  <c r="X38" i="2"/>
  <c r="V39" i="2"/>
  <c r="S39" i="2" s="1"/>
  <c r="W39" i="2"/>
  <c r="T39" i="2" s="1"/>
  <c r="X39" i="2"/>
  <c r="V40" i="2"/>
  <c r="S40" i="2" s="1"/>
  <c r="W40" i="2"/>
  <c r="T40" i="2" s="1"/>
  <c r="X40" i="2"/>
  <c r="V41" i="2"/>
  <c r="S41" i="2" s="1"/>
  <c r="W41" i="2"/>
  <c r="T41" i="2" s="1"/>
  <c r="X41" i="2"/>
  <c r="V42" i="2"/>
  <c r="S42" i="2" s="1"/>
  <c r="W42" i="2"/>
  <c r="T42" i="2" s="1"/>
  <c r="X42" i="2"/>
  <c r="V43" i="2"/>
  <c r="S43" i="2" s="1"/>
  <c r="W43" i="2"/>
  <c r="T43" i="2" s="1"/>
  <c r="X43" i="2"/>
  <c r="W44" i="2"/>
  <c r="T44" i="2" s="1"/>
  <c r="X44" i="2"/>
  <c r="W45" i="2"/>
  <c r="T45" i="2" s="1"/>
  <c r="X45" i="2"/>
  <c r="W46" i="2"/>
  <c r="T46" i="2" s="1"/>
  <c r="X46" i="2"/>
  <c r="V47" i="2"/>
  <c r="S47" i="2" s="1"/>
  <c r="W47" i="2"/>
  <c r="T47" i="2" s="1"/>
  <c r="X47" i="2"/>
  <c r="V48" i="2"/>
  <c r="S48" i="2" s="1"/>
  <c r="W48" i="2"/>
  <c r="T48" i="2" s="1"/>
  <c r="X48" i="2"/>
  <c r="V49" i="2"/>
  <c r="S49" i="2" s="1"/>
  <c r="W49" i="2"/>
  <c r="T49" i="2" s="1"/>
  <c r="X49" i="2"/>
  <c r="W50" i="2"/>
  <c r="T50" i="2" s="1"/>
  <c r="X50" i="2"/>
  <c r="W51" i="2"/>
  <c r="T51" i="2" s="1"/>
  <c r="X51" i="2"/>
  <c r="W52" i="2"/>
  <c r="T52" i="2" s="1"/>
  <c r="X52" i="2"/>
  <c r="V53" i="2"/>
  <c r="S53" i="2" s="1"/>
  <c r="W53" i="2"/>
  <c r="T53" i="2" s="1"/>
  <c r="X53" i="2"/>
  <c r="V54" i="2"/>
  <c r="S54" i="2" s="1"/>
  <c r="W54" i="2"/>
  <c r="T54" i="2" s="1"/>
  <c r="X54" i="2"/>
  <c r="V55" i="2"/>
  <c r="S55" i="2" s="1"/>
  <c r="W55" i="2"/>
  <c r="T55" i="2" s="1"/>
  <c r="X55" i="2"/>
  <c r="V56" i="2"/>
  <c r="S56" i="2" s="1"/>
  <c r="W56" i="2"/>
  <c r="T56" i="2" s="1"/>
  <c r="X56" i="2"/>
  <c r="V57" i="2"/>
  <c r="S57" i="2" s="1"/>
  <c r="W57" i="2"/>
  <c r="T57" i="2" s="1"/>
  <c r="X57" i="2"/>
  <c r="V58" i="2"/>
  <c r="S58" i="2" s="1"/>
  <c r="W58" i="2"/>
  <c r="T58" i="2" s="1"/>
  <c r="X58" i="2"/>
  <c r="V59" i="2"/>
  <c r="S59" i="2" s="1"/>
  <c r="W59" i="2"/>
  <c r="T59" i="2" s="1"/>
  <c r="X59" i="2"/>
  <c r="V60" i="2"/>
  <c r="S60" i="2" s="1"/>
  <c r="W60" i="2"/>
  <c r="T60" i="2" s="1"/>
  <c r="X60" i="2"/>
  <c r="V61" i="2"/>
  <c r="S61" i="2" s="1"/>
  <c r="W61" i="2"/>
  <c r="T61" i="2" s="1"/>
  <c r="X61" i="2"/>
  <c r="V66" i="2"/>
  <c r="S66" i="2" s="1"/>
  <c r="W66" i="2"/>
  <c r="T66" i="2" s="1"/>
  <c r="X66" i="2"/>
  <c r="W67" i="2"/>
  <c r="T67" i="2" s="1"/>
  <c r="X67" i="2"/>
  <c r="W68" i="2"/>
  <c r="T68" i="2" s="1"/>
  <c r="X68" i="2"/>
  <c r="W69" i="2"/>
  <c r="T69" i="2" s="1"/>
  <c r="X69" i="2"/>
  <c r="V70" i="2"/>
  <c r="S70" i="2" s="1"/>
  <c r="W70" i="2"/>
  <c r="T70" i="2" s="1"/>
  <c r="X70" i="2"/>
  <c r="V71" i="2"/>
  <c r="S71" i="2" s="1"/>
  <c r="W71" i="2"/>
  <c r="T71" i="2" s="1"/>
  <c r="X71" i="2"/>
  <c r="V72" i="2"/>
  <c r="S72" i="2" s="1"/>
  <c r="W72" i="2"/>
  <c r="T72" i="2" s="1"/>
  <c r="X72" i="2"/>
  <c r="W73" i="2"/>
  <c r="T73" i="2" s="1"/>
  <c r="X73" i="2"/>
  <c r="W74" i="2"/>
  <c r="T74" i="2" s="1"/>
  <c r="X74" i="2"/>
  <c r="V75" i="2"/>
  <c r="S75" i="2" s="1"/>
  <c r="W75" i="2"/>
  <c r="T75" i="2" s="1"/>
  <c r="X75" i="2"/>
  <c r="W76" i="2"/>
  <c r="T76" i="2" s="1"/>
  <c r="X76" i="2"/>
  <c r="W77" i="2"/>
  <c r="T77" i="2" s="1"/>
  <c r="X77" i="2"/>
  <c r="W78" i="2"/>
  <c r="T78" i="2" s="1"/>
  <c r="X78" i="2"/>
  <c r="W79" i="2"/>
  <c r="T79" i="2" s="1"/>
  <c r="X79" i="2"/>
  <c r="W80" i="2"/>
  <c r="T80" i="2" s="1"/>
  <c r="X80" i="2"/>
  <c r="V81" i="2"/>
  <c r="S81" i="2" s="1"/>
  <c r="W81" i="2"/>
  <c r="T81" i="2" s="1"/>
  <c r="X81" i="2"/>
  <c r="V82" i="2"/>
  <c r="S82" i="2" s="1"/>
  <c r="W82" i="2"/>
  <c r="T82" i="2" s="1"/>
  <c r="X82" i="2"/>
  <c r="V83" i="2"/>
  <c r="S83" i="2" s="1"/>
  <c r="W83" i="2"/>
  <c r="T83" i="2" s="1"/>
  <c r="X83" i="2"/>
  <c r="W84" i="2"/>
  <c r="T84" i="2" s="1"/>
  <c r="X84" i="2"/>
  <c r="V85" i="2"/>
  <c r="S85" i="2" s="1"/>
  <c r="W85" i="2"/>
  <c r="T85" i="2" s="1"/>
  <c r="X85" i="2"/>
  <c r="V86" i="2"/>
  <c r="S86" i="2" s="1"/>
  <c r="W86" i="2"/>
  <c r="T86" i="2" s="1"/>
  <c r="X86" i="2"/>
  <c r="V87" i="2"/>
  <c r="S87" i="2" s="1"/>
  <c r="W87" i="2"/>
  <c r="T87" i="2" s="1"/>
  <c r="X87" i="2"/>
  <c r="V88" i="2"/>
  <c r="S88" i="2" s="1"/>
  <c r="W88" i="2"/>
  <c r="T88" i="2" s="1"/>
  <c r="X88" i="2"/>
  <c r="V89" i="2"/>
  <c r="S89" i="2" s="1"/>
  <c r="W89" i="2"/>
  <c r="T89" i="2" s="1"/>
  <c r="X89" i="2"/>
  <c r="V90" i="2"/>
  <c r="S90" i="2" s="1"/>
  <c r="W90" i="2"/>
  <c r="T90" i="2" s="1"/>
  <c r="X90" i="2"/>
  <c r="V91" i="2"/>
  <c r="S91" i="2" s="1"/>
  <c r="W91" i="2"/>
  <c r="T91" i="2" s="1"/>
  <c r="X91" i="2"/>
  <c r="V92" i="2"/>
  <c r="S92" i="2" s="1"/>
  <c r="W92" i="2"/>
  <c r="T92" i="2" s="1"/>
  <c r="X92" i="2"/>
  <c r="V93" i="2"/>
  <c r="S93" i="2" s="1"/>
  <c r="W93" i="2"/>
  <c r="T93" i="2" s="1"/>
  <c r="X93" i="2"/>
  <c r="V94" i="2"/>
  <c r="S94" i="2" s="1"/>
  <c r="W94" i="2"/>
  <c r="T94" i="2" s="1"/>
  <c r="X94" i="2"/>
  <c r="V95" i="2"/>
  <c r="S95" i="2" s="1"/>
  <c r="W95" i="2"/>
  <c r="T95" i="2" s="1"/>
  <c r="X95" i="2"/>
  <c r="V96" i="2"/>
  <c r="S96" i="2" s="1"/>
  <c r="W96" i="2"/>
  <c r="T96" i="2" s="1"/>
  <c r="X96" i="2"/>
  <c r="V97" i="2"/>
  <c r="S97" i="2" s="1"/>
  <c r="W97" i="2"/>
  <c r="T97" i="2" s="1"/>
  <c r="X97" i="2"/>
  <c r="V98" i="2"/>
  <c r="S98" i="2" s="1"/>
  <c r="W98" i="2"/>
  <c r="T98" i="2" s="1"/>
  <c r="X98" i="2"/>
  <c r="V99" i="2"/>
  <c r="S99" i="2" s="1"/>
  <c r="W99" i="2"/>
  <c r="T99" i="2" s="1"/>
  <c r="X99" i="2"/>
  <c r="V100" i="2"/>
  <c r="S100" i="2" s="1"/>
  <c r="W100" i="2"/>
  <c r="T100" i="2" s="1"/>
  <c r="X100" i="2"/>
  <c r="V101" i="2"/>
  <c r="S101" i="2" s="1"/>
  <c r="W101" i="2"/>
  <c r="T101" i="2" s="1"/>
  <c r="X101" i="2"/>
  <c r="V102" i="2"/>
  <c r="S102" i="2" s="1"/>
  <c r="W102" i="2"/>
  <c r="T102" i="2" s="1"/>
  <c r="X102" i="2"/>
  <c r="W103" i="2"/>
  <c r="T103" i="2" s="1"/>
  <c r="X103" i="2"/>
  <c r="W104" i="2"/>
  <c r="T104" i="2" s="1"/>
  <c r="X104" i="2"/>
  <c r="W105" i="2"/>
  <c r="T105" i="2" s="1"/>
  <c r="X105" i="2"/>
  <c r="W106" i="2"/>
  <c r="T106" i="2" s="1"/>
  <c r="X106" i="2"/>
  <c r="V107" i="2"/>
  <c r="S107" i="2" s="1"/>
  <c r="W107" i="2"/>
  <c r="T107" i="2" s="1"/>
  <c r="X107" i="2"/>
  <c r="V108" i="2"/>
  <c r="S108" i="2" s="1"/>
  <c r="W108" i="2"/>
  <c r="T108" i="2" s="1"/>
  <c r="X108" i="2"/>
  <c r="V109" i="2"/>
  <c r="S109" i="2" s="1"/>
  <c r="W109" i="2"/>
  <c r="T109" i="2" s="1"/>
  <c r="X109" i="2"/>
  <c r="V110" i="2"/>
  <c r="S110" i="2" s="1"/>
  <c r="W110" i="2"/>
  <c r="T110" i="2" s="1"/>
  <c r="X110" i="2"/>
  <c r="V111" i="2"/>
  <c r="S111" i="2" s="1"/>
  <c r="W111" i="2"/>
  <c r="T111" i="2" s="1"/>
  <c r="X111" i="2"/>
  <c r="W112" i="2"/>
  <c r="T112" i="2" s="1"/>
  <c r="X112" i="2"/>
  <c r="V113" i="2"/>
  <c r="S113" i="2" s="1"/>
  <c r="W113" i="2"/>
  <c r="T113" i="2" s="1"/>
  <c r="X113" i="2"/>
  <c r="W118" i="2"/>
  <c r="T118" i="2" s="1"/>
  <c r="X118" i="2"/>
  <c r="V119" i="2"/>
  <c r="S119" i="2" s="1"/>
  <c r="W119" i="2"/>
  <c r="T119" i="2" s="1"/>
  <c r="X119" i="2"/>
  <c r="V121" i="2"/>
  <c r="S121" i="2" s="1"/>
  <c r="W121" i="2"/>
  <c r="T121" i="2" s="1"/>
  <c r="X121" i="2"/>
  <c r="V122" i="2"/>
  <c r="S122" i="2" s="1"/>
  <c r="W122" i="2"/>
  <c r="T122" i="2" s="1"/>
  <c r="X122" i="2"/>
  <c r="V123" i="2"/>
  <c r="S123" i="2" s="1"/>
  <c r="W123" i="2"/>
  <c r="T123" i="2" s="1"/>
  <c r="X123" i="2"/>
  <c r="U124" i="2"/>
  <c r="R124" i="2" s="1"/>
  <c r="V124" i="2"/>
  <c r="S124" i="2" s="1"/>
  <c r="W124" i="2"/>
  <c r="T124" i="2" s="1"/>
  <c r="X124" i="2"/>
  <c r="V125" i="2"/>
  <c r="S125" i="2" s="1"/>
  <c r="W125" i="2"/>
  <c r="T125" i="2" s="1"/>
  <c r="X125" i="2"/>
  <c r="V126" i="2"/>
  <c r="S126" i="2" s="1"/>
  <c r="W126" i="2"/>
  <c r="T126" i="2" s="1"/>
  <c r="X126" i="2"/>
  <c r="V127" i="2"/>
  <c r="S127" i="2" s="1"/>
  <c r="W127" i="2"/>
  <c r="T127" i="2" s="1"/>
  <c r="X127" i="2"/>
  <c r="U128" i="2"/>
  <c r="R128" i="2" s="1"/>
  <c r="V128" i="2"/>
  <c r="S128" i="2" s="1"/>
  <c r="W128" i="2"/>
  <c r="T128" i="2" s="1"/>
  <c r="X128" i="2"/>
  <c r="V129" i="2"/>
  <c r="S129" i="2" s="1"/>
  <c r="W129" i="2"/>
  <c r="T129" i="2" s="1"/>
  <c r="X129" i="2"/>
  <c r="V130" i="2"/>
  <c r="S130" i="2" s="1"/>
  <c r="W130" i="2"/>
  <c r="T130" i="2" s="1"/>
  <c r="X130" i="2"/>
  <c r="V131" i="2"/>
  <c r="S131" i="2" s="1"/>
  <c r="W131" i="2"/>
  <c r="T131" i="2" s="1"/>
  <c r="X131" i="2"/>
  <c r="V132" i="2"/>
  <c r="S132" i="2" s="1"/>
  <c r="W132" i="2"/>
  <c r="T132" i="2" s="1"/>
  <c r="X132" i="2"/>
  <c r="V133" i="2"/>
  <c r="S133" i="2" s="1"/>
  <c r="W133" i="2"/>
  <c r="T133" i="2" s="1"/>
  <c r="X133" i="2"/>
  <c r="V134" i="2"/>
  <c r="S134" i="2" s="1"/>
  <c r="W134" i="2"/>
  <c r="T134" i="2" s="1"/>
  <c r="X134" i="2"/>
  <c r="W135" i="2"/>
  <c r="T135" i="2" s="1"/>
  <c r="X135" i="2"/>
  <c r="W136" i="2"/>
  <c r="T136" i="2" s="1"/>
  <c r="X136" i="2"/>
  <c r="V137" i="2"/>
  <c r="S137" i="2" s="1"/>
  <c r="W137" i="2"/>
  <c r="T137" i="2" s="1"/>
  <c r="X137" i="2"/>
  <c r="W138" i="2"/>
  <c r="T138" i="2" s="1"/>
  <c r="X138" i="2"/>
  <c r="V139" i="2"/>
  <c r="S139" i="2" s="1"/>
  <c r="W139" i="2"/>
  <c r="T139" i="2" s="1"/>
  <c r="X139" i="2"/>
  <c r="V140" i="2"/>
  <c r="S140" i="2" s="1"/>
  <c r="W140" i="2"/>
  <c r="T140" i="2" s="1"/>
  <c r="X140" i="2"/>
  <c r="V141" i="2"/>
  <c r="S141" i="2" s="1"/>
  <c r="W141" i="2"/>
  <c r="T141" i="2" s="1"/>
  <c r="X141" i="2"/>
  <c r="V142" i="2"/>
  <c r="S142" i="2" s="1"/>
  <c r="W142" i="2"/>
  <c r="T142" i="2" s="1"/>
  <c r="X142" i="2"/>
  <c r="V143" i="2"/>
  <c r="S143" i="2" s="1"/>
  <c r="W143" i="2"/>
  <c r="T143" i="2" s="1"/>
  <c r="X143" i="2"/>
  <c r="V144" i="2"/>
  <c r="S144" i="2" s="1"/>
  <c r="W144" i="2"/>
  <c r="T144" i="2" s="1"/>
  <c r="X144" i="2"/>
  <c r="V145" i="2"/>
  <c r="S145" i="2" s="1"/>
  <c r="W145" i="2"/>
  <c r="T145" i="2" s="1"/>
  <c r="X145" i="2"/>
  <c r="W146" i="2"/>
  <c r="T146" i="2" s="1"/>
  <c r="X146" i="2"/>
  <c r="W147" i="2"/>
  <c r="T147" i="2" s="1"/>
  <c r="X147" i="2"/>
  <c r="V148" i="2"/>
  <c r="S148" i="2" s="1"/>
  <c r="W148" i="2"/>
  <c r="T148" i="2" s="1"/>
  <c r="X148" i="2"/>
  <c r="W149" i="2"/>
  <c r="T149" i="2" s="1"/>
  <c r="X149" i="2"/>
  <c r="U150" i="2"/>
  <c r="R150" i="2" s="1"/>
  <c r="V150" i="2"/>
  <c r="S150" i="2" s="1"/>
  <c r="W150" i="2"/>
  <c r="T150" i="2" s="1"/>
  <c r="X150" i="2"/>
  <c r="V151" i="2"/>
  <c r="S151" i="2" s="1"/>
  <c r="W151" i="2"/>
  <c r="T151" i="2" s="1"/>
  <c r="X151" i="2"/>
  <c r="W152" i="2"/>
  <c r="T152" i="2" s="1"/>
  <c r="X152" i="2"/>
  <c r="V153" i="2"/>
  <c r="S153" i="2" s="1"/>
  <c r="W153" i="2"/>
  <c r="T153" i="2" s="1"/>
  <c r="X153" i="2"/>
  <c r="V154" i="2"/>
  <c r="S154" i="2" s="1"/>
  <c r="W154" i="2"/>
  <c r="T154" i="2" s="1"/>
  <c r="X154" i="2"/>
  <c r="V155" i="2"/>
  <c r="S155" i="2" s="1"/>
  <c r="W155" i="2"/>
  <c r="T155" i="2" s="1"/>
  <c r="X155" i="2"/>
  <c r="V156" i="2"/>
  <c r="S156" i="2" s="1"/>
  <c r="W156" i="2"/>
  <c r="T156" i="2" s="1"/>
  <c r="X156" i="2"/>
  <c r="V157" i="2"/>
  <c r="S157" i="2" s="1"/>
  <c r="W157" i="2"/>
  <c r="T157" i="2" s="1"/>
  <c r="X157" i="2"/>
  <c r="V158" i="2"/>
  <c r="S158" i="2" s="1"/>
  <c r="W158" i="2"/>
  <c r="T158" i="2" s="1"/>
  <c r="X158" i="2"/>
  <c r="V159" i="2"/>
  <c r="S159" i="2" s="1"/>
  <c r="W159" i="2"/>
  <c r="T159" i="2" s="1"/>
  <c r="X159" i="2"/>
  <c r="V160" i="2"/>
  <c r="S160" i="2" s="1"/>
  <c r="W160" i="2"/>
  <c r="T160" i="2" s="1"/>
  <c r="X160" i="2"/>
  <c r="W161" i="2"/>
  <c r="T161" i="2" s="1"/>
  <c r="X161" i="2"/>
  <c r="W162" i="2"/>
  <c r="T162" i="2" s="1"/>
  <c r="X162" i="2"/>
  <c r="W163" i="2"/>
  <c r="T163" i="2" s="1"/>
  <c r="X163" i="2"/>
  <c r="W164" i="2"/>
  <c r="T164" i="2" s="1"/>
  <c r="X164" i="2"/>
  <c r="V165" i="2"/>
  <c r="S165" i="2" s="1"/>
  <c r="W165" i="2"/>
  <c r="T165" i="2" s="1"/>
  <c r="X165" i="2"/>
  <c r="W166" i="2"/>
  <c r="T166" i="2" s="1"/>
  <c r="X166" i="2"/>
  <c r="V167" i="2"/>
  <c r="S167" i="2" s="1"/>
  <c r="W167" i="2"/>
  <c r="T167" i="2" s="1"/>
  <c r="X167" i="2"/>
  <c r="U168" i="2"/>
  <c r="R168" i="2" s="1"/>
  <c r="V168" i="2"/>
  <c r="S168" i="2" s="1"/>
  <c r="W168" i="2"/>
  <c r="T168" i="2" s="1"/>
  <c r="X168" i="2"/>
  <c r="V169" i="2"/>
  <c r="S169" i="2" s="1"/>
  <c r="W169" i="2"/>
  <c r="T169" i="2" s="1"/>
  <c r="X169" i="2"/>
  <c r="V170" i="2"/>
  <c r="S170" i="2" s="1"/>
  <c r="W170" i="2"/>
  <c r="T170" i="2" s="1"/>
  <c r="X170" i="2"/>
  <c r="V171" i="2"/>
  <c r="S171" i="2" s="1"/>
  <c r="W171" i="2"/>
  <c r="T171" i="2" s="1"/>
  <c r="X171" i="2"/>
  <c r="V172" i="2"/>
  <c r="S172" i="2" s="1"/>
  <c r="W172" i="2"/>
  <c r="T172" i="2" s="1"/>
  <c r="X172" i="2"/>
  <c r="V173" i="2"/>
  <c r="S173" i="2" s="1"/>
  <c r="W173" i="2"/>
  <c r="T173" i="2" s="1"/>
  <c r="X173" i="2"/>
  <c r="V174" i="2"/>
  <c r="S174" i="2" s="1"/>
  <c r="W174" i="2"/>
  <c r="T174" i="2" s="1"/>
  <c r="X174" i="2"/>
  <c r="V175" i="2"/>
  <c r="S175" i="2" s="1"/>
  <c r="W175" i="2"/>
  <c r="T175" i="2" s="1"/>
  <c r="X175" i="2"/>
  <c r="U176" i="2"/>
  <c r="R176" i="2" s="1"/>
  <c r="V176" i="2"/>
  <c r="S176" i="2" s="1"/>
  <c r="W176" i="2"/>
  <c r="T176" i="2" s="1"/>
  <c r="X176" i="2"/>
  <c r="U177" i="2"/>
  <c r="R177" i="2" s="1"/>
  <c r="V177" i="2"/>
  <c r="S177" i="2" s="1"/>
  <c r="W177" i="2"/>
  <c r="T177" i="2" s="1"/>
  <c r="X177" i="2"/>
  <c r="V178" i="2"/>
  <c r="S178" i="2" s="1"/>
  <c r="W178" i="2"/>
  <c r="T178" i="2" s="1"/>
  <c r="X178" i="2"/>
  <c r="V179" i="2"/>
  <c r="S179" i="2" s="1"/>
  <c r="W179" i="2"/>
  <c r="T179" i="2" s="1"/>
  <c r="X179" i="2"/>
  <c r="V180" i="2"/>
  <c r="S180" i="2" s="1"/>
  <c r="W180" i="2"/>
  <c r="T180" i="2" s="1"/>
  <c r="X180" i="2"/>
  <c r="V189" i="2"/>
  <c r="S189" i="2" s="1"/>
  <c r="W189" i="2"/>
  <c r="T189" i="2" s="1"/>
  <c r="X189" i="2"/>
  <c r="V190" i="2"/>
  <c r="S190" i="2" s="1"/>
  <c r="W190" i="2"/>
  <c r="T190" i="2" s="1"/>
  <c r="X190" i="2"/>
  <c r="V191" i="2"/>
  <c r="S191" i="2" s="1"/>
  <c r="W191" i="2"/>
  <c r="T191" i="2" s="1"/>
  <c r="X191" i="2"/>
  <c r="V192" i="2"/>
  <c r="S192" i="2" s="1"/>
  <c r="W192" i="2"/>
  <c r="T192" i="2" s="1"/>
  <c r="X192" i="2"/>
  <c r="V194" i="2"/>
  <c r="S194" i="2" s="1"/>
  <c r="W194" i="2"/>
  <c r="T194" i="2" s="1"/>
  <c r="X194" i="2"/>
  <c r="V196" i="2"/>
  <c r="S196" i="2" s="1"/>
  <c r="W196" i="2"/>
  <c r="T196" i="2" s="1"/>
  <c r="X196" i="2"/>
  <c r="V197" i="2"/>
  <c r="S197" i="2" s="1"/>
  <c r="W197" i="2"/>
  <c r="T197" i="2" s="1"/>
  <c r="X197" i="2"/>
  <c r="V198" i="2"/>
  <c r="S198" i="2" s="1"/>
  <c r="W198" i="2"/>
  <c r="T198" i="2" s="1"/>
  <c r="X198" i="2"/>
  <c r="V199" i="2"/>
  <c r="S199" i="2" s="1"/>
  <c r="W199" i="2"/>
  <c r="T199" i="2" s="1"/>
  <c r="X199" i="2"/>
  <c r="V200" i="2"/>
  <c r="S200" i="2" s="1"/>
  <c r="W200" i="2"/>
  <c r="T200" i="2" s="1"/>
  <c r="X200" i="2"/>
  <c r="V181" i="2"/>
  <c r="S181" i="2" s="1"/>
  <c r="W181" i="2"/>
  <c r="T181" i="2" s="1"/>
  <c r="X181" i="2"/>
  <c r="V201" i="2"/>
  <c r="S201" i="2" s="1"/>
  <c r="W201" i="2"/>
  <c r="T201" i="2" s="1"/>
  <c r="X201" i="2"/>
  <c r="V202" i="2"/>
  <c r="S202" i="2" s="1"/>
  <c r="W202" i="2"/>
  <c r="T202" i="2" s="1"/>
  <c r="X202" i="2"/>
  <c r="V203" i="2"/>
  <c r="S203" i="2" s="1"/>
  <c r="W203" i="2"/>
  <c r="T203" i="2" s="1"/>
  <c r="X203" i="2"/>
  <c r="V204" i="2"/>
  <c r="S204" i="2" s="1"/>
  <c r="W204" i="2"/>
  <c r="T204" i="2" s="1"/>
  <c r="X204" i="2"/>
  <c r="V205" i="2"/>
  <c r="S205" i="2" s="1"/>
  <c r="W205" i="2"/>
  <c r="T205" i="2" s="1"/>
  <c r="X205" i="2"/>
  <c r="V206" i="2"/>
  <c r="S206" i="2" s="1"/>
  <c r="W206" i="2"/>
  <c r="T206" i="2" s="1"/>
  <c r="X206" i="2"/>
  <c r="V207" i="2"/>
  <c r="S207" i="2" s="1"/>
  <c r="W207" i="2"/>
  <c r="T207" i="2" s="1"/>
  <c r="X207" i="2"/>
  <c r="V208" i="2"/>
  <c r="S208" i="2" s="1"/>
  <c r="W208" i="2"/>
  <c r="T208" i="2" s="1"/>
  <c r="X208" i="2"/>
  <c r="W182" i="2"/>
  <c r="T182" i="2" s="1"/>
  <c r="X182" i="2"/>
  <c r="W183" i="2"/>
  <c r="T183" i="2" s="1"/>
  <c r="X183" i="2"/>
  <c r="W184" i="2"/>
  <c r="T184" i="2" s="1"/>
  <c r="X184" i="2"/>
  <c r="W185" i="2"/>
  <c r="T185" i="2" s="1"/>
  <c r="X185" i="2"/>
  <c r="W186" i="2"/>
  <c r="T186" i="2" s="1"/>
  <c r="X186" i="2"/>
  <c r="W187" i="2"/>
  <c r="T187" i="2" s="1"/>
  <c r="X187" i="2"/>
  <c r="W188" i="2"/>
  <c r="T188" i="2" s="1"/>
  <c r="X188" i="2"/>
  <c r="W210" i="2"/>
  <c r="T210" i="2" s="1"/>
  <c r="X210" i="2"/>
  <c r="V211" i="2"/>
  <c r="S211" i="2" s="1"/>
  <c r="W211" i="2"/>
  <c r="T211" i="2" s="1"/>
  <c r="X211" i="2"/>
  <c r="U188" i="2"/>
  <c r="R188" i="2" s="1"/>
  <c r="V188" i="2"/>
  <c r="S188" i="2" s="1"/>
  <c r="V22" i="2"/>
  <c r="S22" i="2" s="1"/>
  <c r="U138" i="2"/>
  <c r="R138" i="2" s="1"/>
  <c r="V166" i="2" l="1"/>
  <c r="S166" i="2" s="1"/>
  <c r="U161" i="2"/>
  <c r="R161" i="2" s="1"/>
  <c r="V149" i="2"/>
  <c r="S149" i="2" s="1"/>
  <c r="V44" i="2"/>
  <c r="S44" i="2" s="1"/>
  <c r="V186" i="2"/>
  <c r="S186" i="2" s="1"/>
  <c r="U166" i="2"/>
  <c r="R166" i="2" s="1"/>
  <c r="U149" i="2"/>
  <c r="R149" i="2" s="1"/>
  <c r="U46" i="2"/>
  <c r="R46" i="2" s="1"/>
  <c r="U44" i="2"/>
  <c r="R44" i="2" s="1"/>
  <c r="U186" i="2"/>
  <c r="R186" i="2" s="1"/>
  <c r="V184" i="2"/>
  <c r="S184" i="2" s="1"/>
  <c r="V164" i="2"/>
  <c r="S164" i="2" s="1"/>
  <c r="V118" i="2"/>
  <c r="S118" i="2" s="1"/>
  <c r="U184" i="2"/>
  <c r="R184" i="2" s="1"/>
  <c r="U164" i="2"/>
  <c r="R164" i="2" s="1"/>
  <c r="V147" i="2"/>
  <c r="S147" i="2" s="1"/>
  <c r="U118" i="2"/>
  <c r="R118" i="2" s="1"/>
  <c r="V112" i="2"/>
  <c r="S112" i="2" s="1"/>
  <c r="V79" i="2"/>
  <c r="S79" i="2" s="1"/>
  <c r="V210" i="2"/>
  <c r="S210" i="2" s="1"/>
  <c r="U147" i="2"/>
  <c r="R147" i="2" s="1"/>
  <c r="U112" i="2"/>
  <c r="R112" i="2" s="1"/>
  <c r="U79" i="2"/>
  <c r="R79" i="2" s="1"/>
  <c r="V182" i="2"/>
  <c r="S182" i="2" s="1"/>
  <c r="V162" i="2"/>
  <c r="S162" i="2" s="1"/>
  <c r="V152" i="2"/>
  <c r="S152" i="2" s="1"/>
  <c r="V106" i="2"/>
  <c r="S106" i="2" s="1"/>
  <c r="V104" i="2"/>
  <c r="S104" i="2" s="1"/>
  <c r="U210" i="2"/>
  <c r="R210" i="2" s="1"/>
  <c r="U182" i="2"/>
  <c r="R182" i="2" s="1"/>
  <c r="U162" i="2"/>
  <c r="R162" i="2" s="1"/>
  <c r="U152" i="2"/>
  <c r="R152" i="2" s="1"/>
  <c r="U106" i="2"/>
  <c r="R106" i="2" s="1"/>
  <c r="U104" i="2"/>
  <c r="R104" i="2" s="1"/>
  <c r="V187" i="2"/>
  <c r="S187" i="2" s="1"/>
  <c r="V135" i="2"/>
  <c r="S135" i="2" s="1"/>
  <c r="U187" i="2"/>
  <c r="R187" i="2" s="1"/>
  <c r="U135" i="2"/>
  <c r="R135" i="2" s="1"/>
  <c r="V84" i="2"/>
  <c r="S84" i="2" s="1"/>
  <c r="V76" i="2"/>
  <c r="S76" i="2" s="1"/>
  <c r="V185" i="2"/>
  <c r="S185" i="2" s="1"/>
  <c r="V138" i="2"/>
  <c r="S138" i="2" s="1"/>
  <c r="U185" i="2"/>
  <c r="R185" i="2" s="1"/>
  <c r="U84" i="2"/>
  <c r="R84" i="2" s="1"/>
  <c r="U68" i="2"/>
  <c r="R68" i="2" s="1"/>
  <c r="U45" i="2"/>
  <c r="R45" i="2" s="1"/>
  <c r="U14" i="2"/>
  <c r="R14" i="2" s="1"/>
  <c r="U74" i="2"/>
  <c r="R74" i="2" s="1"/>
  <c r="U34" i="2"/>
  <c r="R34" i="2" s="1"/>
  <c r="U27" i="2"/>
  <c r="R27" i="2" s="1"/>
  <c r="V46" i="2"/>
  <c r="S46" i="2" s="1"/>
  <c r="V68" i="2"/>
  <c r="S68" i="2" s="1"/>
  <c r="V45" i="2"/>
  <c r="S45" i="2" s="1"/>
  <c r="V14" i="2"/>
  <c r="S14" i="2" s="1"/>
  <c r="V74" i="2"/>
  <c r="S74" i="2" s="1"/>
  <c r="V34" i="2"/>
  <c r="S34" i="2" s="1"/>
  <c r="V67" i="2"/>
  <c r="S67" i="2" s="1"/>
  <c r="V27" i="2"/>
  <c r="S27" i="2" s="1"/>
  <c r="V80" i="2"/>
  <c r="S80" i="2" s="1"/>
  <c r="U78" i="2"/>
  <c r="R78" i="2" s="1"/>
  <c r="U67" i="2"/>
  <c r="R67" i="2" s="1"/>
  <c r="U22" i="2"/>
  <c r="R22" i="2" s="1"/>
  <c r="V183" i="2"/>
  <c r="S183" i="2" s="1"/>
  <c r="V163" i="2"/>
  <c r="S163" i="2" s="1"/>
  <c r="V146" i="2"/>
  <c r="S146" i="2" s="1"/>
  <c r="U80" i="2"/>
  <c r="R80" i="2" s="1"/>
  <c r="U183" i="2"/>
  <c r="R183" i="2" s="1"/>
  <c r="U163" i="2"/>
  <c r="R163" i="2" s="1"/>
  <c r="U146" i="2"/>
  <c r="R146" i="2" s="1"/>
  <c r="V136" i="2"/>
  <c r="S136" i="2" s="1"/>
  <c r="V105" i="2"/>
  <c r="S105" i="2" s="1"/>
  <c r="V69" i="2"/>
  <c r="S69" i="2" s="1"/>
  <c r="V50" i="2"/>
  <c r="S50" i="2" s="1"/>
  <c r="V77" i="2"/>
  <c r="S77" i="2" s="1"/>
  <c r="V52" i="2"/>
  <c r="S52" i="2" s="1"/>
  <c r="V21" i="2"/>
  <c r="S21" i="2" s="1"/>
  <c r="V78" i="2"/>
  <c r="S78" i="2" s="1"/>
  <c r="U136" i="2"/>
  <c r="R136" i="2" s="1"/>
  <c r="U105" i="2"/>
  <c r="R105" i="2" s="1"/>
  <c r="V103" i="2"/>
  <c r="S103" i="2" s="1"/>
  <c r="V73" i="2"/>
  <c r="S73" i="2" s="1"/>
  <c r="U69" i="2"/>
  <c r="R69" i="2" s="1"/>
  <c r="V51" i="2"/>
  <c r="S51" i="2" s="1"/>
  <c r="U50" i="2"/>
  <c r="R50" i="2" s="1"/>
  <c r="U77" i="2"/>
  <c r="R77" i="2" s="1"/>
  <c r="U52" i="2"/>
  <c r="R52" i="2" s="1"/>
  <c r="U21" i="2"/>
  <c r="R21" i="2" s="1"/>
  <c r="U51" i="2"/>
  <c r="R51" i="2" s="1"/>
  <c r="U76" i="2"/>
  <c r="R76" i="2" s="1"/>
  <c r="V161" i="2"/>
  <c r="S161" i="2" s="1"/>
  <c r="U103" i="2"/>
  <c r="R103" i="2" s="1"/>
  <c r="U73" i="2"/>
  <c r="R73" i="2" s="1"/>
  <c r="I130" i="2"/>
  <c r="K15" i="1"/>
  <c r="K48" i="1"/>
  <c r="I81" i="2"/>
  <c r="J31" i="1"/>
  <c r="K35" i="1"/>
  <c r="J29" i="1"/>
  <c r="K29" i="1"/>
  <c r="J15" i="1" l="1"/>
  <c r="U36" i="2"/>
  <c r="R36" i="2" s="1"/>
  <c r="U160" i="2"/>
  <c r="R160" i="2" s="1"/>
  <c r="U15" i="2"/>
  <c r="R15" i="2" s="1"/>
  <c r="U28" i="2"/>
  <c r="R28" i="2" s="1"/>
  <c r="U121" i="2"/>
  <c r="R121" i="2" s="1"/>
  <c r="U191" i="2"/>
  <c r="R191" i="2" s="1"/>
  <c r="U175" i="2"/>
  <c r="R175" i="2" s="1"/>
  <c r="U133" i="2"/>
  <c r="R133" i="2" s="1"/>
  <c r="U54" i="2"/>
  <c r="R54" i="2" s="1"/>
  <c r="U181" i="2"/>
  <c r="R181" i="2" s="1"/>
  <c r="U83" i="2"/>
  <c r="R83" i="2" s="1"/>
  <c r="U20" i="2"/>
  <c r="R20" i="2" s="1"/>
  <c r="U57" i="2"/>
  <c r="R57" i="2" s="1"/>
  <c r="U190" i="2"/>
  <c r="R190" i="2" s="1"/>
  <c r="U55" i="2"/>
  <c r="R55" i="2" s="1"/>
  <c r="U137" i="2"/>
  <c r="R137" i="2" s="1"/>
  <c r="U61" i="2"/>
  <c r="R61" i="2" s="1"/>
  <c r="U113" i="2"/>
  <c r="R113" i="2" s="1"/>
  <c r="U132" i="2"/>
  <c r="R132" i="2" s="1"/>
  <c r="U165" i="2"/>
  <c r="R165" i="2" s="1"/>
  <c r="U179" i="2"/>
  <c r="R179" i="2" s="1"/>
  <c r="U16" i="2"/>
  <c r="R16" i="2" s="1"/>
  <c r="U189" i="2"/>
  <c r="R189" i="2" s="1"/>
  <c r="U33" i="2"/>
  <c r="R33" i="2" s="1"/>
  <c r="U82" i="2"/>
  <c r="R82" i="2" s="1"/>
  <c r="U134" i="2"/>
  <c r="R134" i="2" s="1"/>
  <c r="U48" i="2"/>
  <c r="R48" i="2" s="1"/>
  <c r="U58" i="2"/>
  <c r="R58" i="2" s="1"/>
  <c r="J35" i="1"/>
  <c r="J48" i="1"/>
  <c r="U211" i="2" l="1"/>
  <c r="R211" i="2" s="1"/>
  <c r="U102" i="2" l="1"/>
  <c r="R102" i="2" s="1"/>
  <c r="U130" i="2"/>
  <c r="R130" i="2" s="1"/>
  <c r="U49" i="2"/>
  <c r="R49" i="2" s="1"/>
  <c r="U81" i="2"/>
  <c r="R81" i="2" s="1"/>
  <c r="U180" i="2"/>
  <c r="R180" i="2" s="1"/>
  <c r="U31" i="2"/>
  <c r="R31" i="2" s="1"/>
  <c r="U94" i="2"/>
  <c r="R94" i="2" s="1"/>
  <c r="U145" i="2"/>
  <c r="R145" i="2" s="1"/>
  <c r="U174" i="2"/>
  <c r="R174" i="2" s="1"/>
  <c r="U56" i="2"/>
  <c r="R56" i="2" s="1"/>
  <c r="U101" i="2"/>
  <c r="R101" i="2" s="1"/>
  <c r="U126" i="2"/>
  <c r="R126" i="2" s="1"/>
  <c r="U202" i="2"/>
  <c r="R202" i="2" s="1"/>
  <c r="U151" i="2"/>
  <c r="R151" i="2" s="1"/>
  <c r="U19" i="2"/>
  <c r="R19" i="2" s="1"/>
  <c r="U43" i="2"/>
  <c r="R43" i="2" s="1"/>
  <c r="U92" i="2"/>
  <c r="R92" i="2" s="1"/>
  <c r="U143" i="2"/>
  <c r="R143" i="2" s="1"/>
  <c r="U173" i="2"/>
  <c r="R173" i="2" s="1"/>
  <c r="U107" i="2"/>
  <c r="R107" i="2" s="1"/>
  <c r="U158" i="2"/>
  <c r="R158" i="2" s="1"/>
  <c r="U207" i="2"/>
  <c r="R207" i="2" s="1"/>
  <c r="U93" i="2"/>
  <c r="R93" i="2" s="1"/>
  <c r="U97" i="2"/>
  <c r="R97" i="2" s="1"/>
  <c r="U156" i="2"/>
  <c r="R156" i="2" s="1"/>
  <c r="U178" i="2"/>
  <c r="R178" i="2" s="1"/>
  <c r="U39" i="2"/>
  <c r="R39" i="2" s="1"/>
  <c r="U59" i="2"/>
  <c r="R59" i="2" s="1"/>
  <c r="U72" i="2"/>
  <c r="R72" i="2" s="1"/>
  <c r="U169" i="2"/>
  <c r="R169" i="2" s="1"/>
  <c r="U205" i="2"/>
  <c r="R205" i="2" s="1"/>
  <c r="U32" i="2"/>
  <c r="R32" i="2" s="1"/>
  <c r="U95" i="2"/>
  <c r="R95" i="2" s="1"/>
  <c r="U154" i="2"/>
  <c r="R154" i="2" s="1"/>
  <c r="U25" i="2"/>
  <c r="R25" i="2" s="1"/>
  <c r="U127" i="2"/>
  <c r="R127" i="2" s="1"/>
  <c r="U203" i="2"/>
  <c r="R203" i="2" s="1"/>
  <c r="U35" i="2"/>
  <c r="R35" i="2" s="1"/>
  <c r="U159" i="2"/>
  <c r="R159" i="2" s="1"/>
  <c r="U42" i="2"/>
  <c r="R42" i="2" s="1"/>
  <c r="U142" i="2"/>
  <c r="R142" i="2" s="1"/>
  <c r="U172" i="2"/>
  <c r="R172" i="2" s="1"/>
  <c r="U208" i="2"/>
  <c r="R208" i="2" s="1"/>
  <c r="U17" i="2"/>
  <c r="R17" i="2" s="1"/>
  <c r="U41" i="2"/>
  <c r="R41" i="2" s="1"/>
  <c r="U98" i="2"/>
  <c r="R98" i="2" s="1"/>
  <c r="U157" i="2"/>
  <c r="R157" i="2" s="1"/>
  <c r="U140" i="2"/>
  <c r="R140" i="2" s="1"/>
  <c r="U170" i="2"/>
  <c r="R170" i="2" s="1"/>
  <c r="U206" i="2"/>
  <c r="R206" i="2" s="1"/>
  <c r="U141" i="2"/>
  <c r="R141" i="2" s="1"/>
  <c r="U171" i="2"/>
  <c r="R171" i="2" s="1"/>
  <c r="U155" i="2"/>
  <c r="R155" i="2" s="1"/>
  <c r="U26" i="2"/>
  <c r="R26" i="2" s="1"/>
  <c r="U71" i="2"/>
  <c r="R71" i="2" s="1"/>
  <c r="U111" i="2"/>
  <c r="R111" i="2" s="1"/>
  <c r="U204" i="2"/>
  <c r="R204" i="2" s="1"/>
  <c r="U144" i="2"/>
  <c r="R144" i="2" s="1"/>
  <c r="U153" i="2"/>
  <c r="R153" i="2" s="1"/>
  <c r="U196" i="2"/>
  <c r="R196" i="2" s="1"/>
  <c r="U24" i="2"/>
  <c r="R24" i="2" s="1"/>
  <c r="U148" i="2"/>
  <c r="R148" i="2" s="1"/>
  <c r="U66" i="2"/>
  <c r="R66" i="2" s="1"/>
  <c r="U194" i="2"/>
  <c r="R194" i="2" s="1"/>
  <c r="U90" i="2"/>
  <c r="R90" i="2" s="1"/>
  <c r="U99" i="2"/>
  <c r="R99" i="2" s="1"/>
  <c r="U122" i="2"/>
  <c r="R122" i="2" s="1"/>
  <c r="U199" i="2"/>
  <c r="R199" i="2" s="1"/>
  <c r="U88" i="2"/>
  <c r="R88" i="2" s="1"/>
  <c r="U129" i="2"/>
  <c r="R129" i="2" s="1"/>
  <c r="U139" i="2"/>
  <c r="R139" i="2" s="1"/>
  <c r="U192" i="2"/>
  <c r="R192" i="2" s="1"/>
  <c r="U75" i="2"/>
  <c r="R75" i="2" s="1"/>
  <c r="U119" i="2"/>
  <c r="R119" i="2" s="1"/>
  <c r="U197" i="2"/>
  <c r="R197" i="2" s="1"/>
  <c r="U47" i="2"/>
  <c r="R47" i="2" s="1"/>
  <c r="U86" i="2"/>
  <c r="R86" i="2" s="1"/>
  <c r="U110" i="2"/>
  <c r="R110" i="2" s="1"/>
  <c r="U23" i="2"/>
  <c r="R23" i="2" s="1"/>
  <c r="U100" i="2"/>
  <c r="R100" i="2" s="1"/>
  <c r="U108" i="2"/>
  <c r="R108" i="2" s="1"/>
  <c r="U18" i="2"/>
  <c r="R18" i="2" s="1"/>
  <c r="U91" i="2"/>
  <c r="R91" i="2" s="1"/>
  <c r="U30" i="2"/>
  <c r="R30" i="2" s="1"/>
  <c r="U53" i="2"/>
  <c r="R53" i="2" s="1"/>
  <c r="U123" i="2"/>
  <c r="R123" i="2" s="1"/>
  <c r="U200" i="2"/>
  <c r="R200" i="2" s="1"/>
  <c r="U40" i="2"/>
  <c r="R40" i="2" s="1"/>
  <c r="U60" i="2"/>
  <c r="R60" i="2" s="1"/>
  <c r="U89" i="2"/>
  <c r="R89" i="2" s="1"/>
  <c r="U198" i="2"/>
  <c r="R198" i="2" s="1"/>
  <c r="U131" i="2"/>
  <c r="R131" i="2" s="1"/>
  <c r="U38" i="2"/>
  <c r="R38" i="2" s="1"/>
  <c r="U87" i="2"/>
  <c r="R87" i="2" s="1"/>
  <c r="U37" i="2"/>
  <c r="R37" i="2" s="1"/>
  <c r="U125" i="2"/>
  <c r="R125" i="2" s="1"/>
  <c r="U109" i="2"/>
  <c r="R109" i="2" s="1"/>
  <c r="U29" i="2"/>
  <c r="R29" i="2" s="1"/>
  <c r="U201" i="2"/>
  <c r="R201" i="2" s="1"/>
  <c r="U85" i="2"/>
  <c r="R85" i="2" s="1"/>
  <c r="U70" i="2"/>
  <c r="R70" i="2" s="1"/>
  <c r="U167" i="2"/>
  <c r="R167" i="2" s="1"/>
  <c r="U96" i="2"/>
  <c r="R96" i="2" s="1"/>
  <c r="J21" i="1"/>
  <c r="J22" i="1" l="1"/>
  <c r="K22" i="1" l="1"/>
  <c r="K21" i="1"/>
  <c r="K37" i="1"/>
  <c r="J37" i="1"/>
  <c r="K44" i="1"/>
  <c r="J44" i="1"/>
  <c r="K28" i="1"/>
  <c r="J28" i="1"/>
  <c r="K33" i="1"/>
  <c r="J33" i="1"/>
  <c r="I109" i="2" l="1"/>
  <c r="K43" i="1"/>
  <c r="J43" i="1"/>
  <c r="K47" i="1" l="1"/>
  <c r="J47" i="1"/>
  <c r="I119" i="2" l="1"/>
  <c r="I121" i="2"/>
  <c r="I122" i="2"/>
  <c r="I123" i="2"/>
  <c r="I124" i="2"/>
  <c r="I125" i="2"/>
  <c r="I126" i="2"/>
  <c r="I127" i="2"/>
  <c r="I128" i="2"/>
  <c r="I129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76" i="2"/>
  <c r="I86" i="2"/>
  <c r="I87" i="2"/>
  <c r="I88" i="2"/>
  <c r="I89" i="2"/>
  <c r="I90" i="2"/>
  <c r="I91" i="2"/>
  <c r="I92" i="2"/>
  <c r="I93" i="2"/>
  <c r="I94" i="2"/>
  <c r="I95" i="2"/>
  <c r="I77" i="2"/>
  <c r="I96" i="2"/>
  <c r="I97" i="2"/>
  <c r="I98" i="2"/>
  <c r="I99" i="2"/>
  <c r="I100" i="2"/>
  <c r="I101" i="2"/>
  <c r="I102" i="2"/>
  <c r="I78" i="2"/>
  <c r="I79" i="2"/>
  <c r="I80" i="2"/>
  <c r="I112" i="2"/>
  <c r="I82" i="2"/>
  <c r="I113" i="2"/>
  <c r="I83" i="2"/>
  <c r="I84" i="2"/>
  <c r="I118" i="2"/>
  <c r="I85" i="2"/>
  <c r="I103" i="2"/>
  <c r="I104" i="2"/>
  <c r="I105" i="2"/>
  <c r="I106" i="2"/>
  <c r="I107" i="2"/>
  <c r="I108" i="2"/>
  <c r="I110" i="2"/>
  <c r="I111" i="2"/>
  <c r="I14" i="2"/>
  <c r="I15" i="2"/>
  <c r="I16" i="2"/>
  <c r="I17" i="2"/>
  <c r="I18" i="2"/>
  <c r="I19" i="2"/>
  <c r="I20" i="2"/>
  <c r="I21" i="2"/>
  <c r="I22" i="2"/>
  <c r="K23" i="1"/>
  <c r="J23" i="1"/>
  <c r="J42" i="1"/>
  <c r="K42" i="1"/>
  <c r="I23" i="2" l="1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6" i="2"/>
  <c r="I67" i="2"/>
  <c r="I68" i="2"/>
  <c r="I69" i="2"/>
  <c r="I70" i="2"/>
  <c r="I71" i="2"/>
  <c r="I72" i="2"/>
  <c r="I73" i="2"/>
  <c r="I74" i="2"/>
  <c r="I75" i="2"/>
  <c r="K40" i="1" l="1"/>
  <c r="J40" i="1"/>
  <c r="K39" i="1" l="1"/>
  <c r="K38" i="1" l="1"/>
  <c r="J38" i="1"/>
  <c r="I32" i="31" l="1"/>
  <c r="U16" i="55"/>
  <c r="X16" i="55"/>
  <c r="R16" i="55"/>
  <c r="J16" i="1"/>
  <c r="J14" i="1"/>
  <c r="J17" i="1"/>
  <c r="K18" i="1"/>
  <c r="J18" i="1"/>
  <c r="K17" i="1"/>
  <c r="K16" i="1"/>
  <c r="K14" i="1"/>
  <c r="J20" i="1" l="1"/>
  <c r="K20" i="1"/>
  <c r="J25" i="1"/>
  <c r="K25" i="1"/>
  <c r="J26" i="1"/>
  <c r="K26" i="1"/>
  <c r="J27" i="1"/>
  <c r="K27" i="1"/>
  <c r="J30" i="1"/>
  <c r="K30" i="1"/>
  <c r="J32" i="1"/>
  <c r="K32" i="1"/>
  <c r="J36" i="1"/>
  <c r="K36" i="1"/>
  <c r="J39" i="1"/>
  <c r="J41" i="1"/>
  <c r="K41" i="1"/>
  <c r="J45" i="1"/>
  <c r="K45" i="1"/>
  <c r="L50" i="1" l="1"/>
  <c r="L75" i="55" l="1"/>
  <c r="L74" i="55"/>
  <c r="L76" i="55"/>
  <c r="L73" i="55"/>
  <c r="L71" i="55"/>
  <c r="L70" i="55"/>
  <c r="L69" i="55"/>
  <c r="E35" i="31"/>
  <c r="E25" i="31"/>
  <c r="Y16" i="55"/>
  <c r="V16" i="55"/>
  <c r="N16" i="55"/>
  <c r="Y24" i="55"/>
  <c r="X24" i="55"/>
  <c r="V24" i="55"/>
  <c r="U24" i="55"/>
  <c r="T24" i="55"/>
  <c r="R24" i="55"/>
  <c r="P24" i="55"/>
  <c r="O24" i="55"/>
  <c r="N24" i="55"/>
  <c r="J51" i="31" l="1"/>
  <c r="K50" i="1" l="1"/>
  <c r="L51" i="1" s="1"/>
  <c r="M46" i="1" s="1"/>
  <c r="M19" i="1" l="1"/>
  <c r="M34" i="1"/>
  <c r="M31" i="1"/>
  <c r="M24" i="1"/>
  <c r="M15" i="1"/>
  <c r="M29" i="1"/>
  <c r="M35" i="1"/>
  <c r="M21" i="1"/>
  <c r="M22" i="1"/>
  <c r="M37" i="1"/>
  <c r="M28" i="1"/>
  <c r="M44" i="1"/>
  <c r="M33" i="1"/>
  <c r="M43" i="1"/>
  <c r="M40" i="1"/>
  <c r="M16" i="1"/>
  <c r="M23" i="1"/>
  <c r="M42" i="1"/>
  <c r="M38" i="1"/>
  <c r="M39" i="1"/>
  <c r="M41" i="1"/>
  <c r="M36" i="1"/>
  <c r="M14" i="1"/>
  <c r="M17" i="1"/>
  <c r="M26" i="1"/>
  <c r="M32" i="1"/>
  <c r="M27" i="1"/>
  <c r="M18" i="1"/>
  <c r="M25" i="1"/>
  <c r="M20" i="1"/>
  <c r="M30" i="1"/>
  <c r="E4" i="2"/>
  <c r="F62" i="55"/>
  <c r="G51" i="55"/>
  <c r="G57" i="55" s="1"/>
  <c r="I43" i="55"/>
  <c r="Y27" i="55"/>
  <c r="X27" i="55"/>
  <c r="V27" i="55"/>
  <c r="U27" i="55"/>
  <c r="U29" i="55" s="1"/>
  <c r="T27" i="55"/>
  <c r="R27" i="55"/>
  <c r="P27" i="55"/>
  <c r="O27" i="55"/>
  <c r="N27" i="55"/>
  <c r="G18" i="55"/>
  <c r="G22" i="55" s="1"/>
  <c r="N25" i="31"/>
  <c r="C99" i="28"/>
  <c r="D99" i="28" s="1"/>
  <c r="E99" i="28" s="1"/>
  <c r="F99" i="28" s="1"/>
  <c r="G99" i="28" s="1"/>
  <c r="D96" i="28"/>
  <c r="E96" i="28" s="1"/>
  <c r="F96" i="28" s="1"/>
  <c r="G96" i="28" s="1"/>
  <c r="J49" i="31"/>
  <c r="J52" i="31"/>
  <c r="J50" i="31"/>
  <c r="N29" i="55" l="1"/>
  <c r="N31" i="55" s="1"/>
  <c r="N33" i="55" s="1"/>
  <c r="O69" i="55" s="1"/>
  <c r="I19" i="28"/>
  <c r="I21" i="28"/>
  <c r="H18" i="28"/>
  <c r="I18" i="28"/>
  <c r="I17" i="28"/>
  <c r="H17" i="28"/>
  <c r="I20" i="28"/>
  <c r="H21" i="28"/>
  <c r="M21" i="28" s="1"/>
  <c r="H20" i="28"/>
  <c r="M20" i="28" s="1"/>
  <c r="F59" i="55"/>
  <c r="F60" i="55"/>
  <c r="F61" i="55"/>
  <c r="D25" i="31"/>
  <c r="P29" i="55"/>
  <c r="T29" i="55"/>
  <c r="T31" i="55" s="1"/>
  <c r="T33" i="55" s="1"/>
  <c r="O73" i="55" s="1"/>
  <c r="O29" i="55"/>
  <c r="O31" i="55" s="1"/>
  <c r="O33" i="55" s="1"/>
  <c r="O70" i="55" s="1"/>
  <c r="X29" i="55"/>
  <c r="X31" i="55" s="1"/>
  <c r="X33" i="55" s="1"/>
  <c r="R29" i="55"/>
  <c r="R31" i="55" s="1"/>
  <c r="R33" i="55" s="1"/>
  <c r="V29" i="55"/>
  <c r="V31" i="55" s="1"/>
  <c r="V33" i="55" s="1"/>
  <c r="O75" i="55" s="1"/>
  <c r="Y29" i="55"/>
  <c r="Y31" i="55" s="1"/>
  <c r="Y33" i="55" s="1"/>
  <c r="U31" i="55"/>
  <c r="U33" i="55" s="1"/>
  <c r="O74" i="55" s="1"/>
  <c r="M17" i="28" l="1"/>
  <c r="Q18" i="28"/>
  <c r="M18" i="28"/>
  <c r="Q20" i="28"/>
  <c r="Q21" i="28"/>
  <c r="Q17" i="28"/>
  <c r="K17" i="28"/>
  <c r="K18" i="28"/>
  <c r="K20" i="28"/>
  <c r="K21" i="28"/>
  <c r="G63" i="55"/>
  <c r="M38" i="55" s="1"/>
  <c r="P31" i="55"/>
  <c r="P33" i="55" s="1"/>
  <c r="O71" i="55" s="1"/>
  <c r="M50" i="1" l="1"/>
  <c r="Y34" i="55" l="1"/>
  <c r="Y36" i="55" s="1"/>
  <c r="Y38" i="55" s="1"/>
  <c r="Y39" i="55" s="1"/>
  <c r="X34" i="55"/>
  <c r="X36" i="55" s="1"/>
  <c r="X38" i="55" s="1"/>
  <c r="X39" i="55" s="1"/>
  <c r="R34" i="55"/>
  <c r="R36" i="55" s="1"/>
  <c r="R38" i="55" s="1"/>
  <c r="R39" i="55" s="1"/>
  <c r="R44" i="55" l="1"/>
  <c r="R55" i="55" s="1"/>
  <c r="R57" i="55" s="1"/>
  <c r="R59" i="55" s="1"/>
  <c r="R63" i="55" s="1"/>
  <c r="X44" i="55"/>
  <c r="X55" i="55" s="1"/>
  <c r="X57" i="55" s="1"/>
  <c r="X59" i="55" s="1"/>
  <c r="X65" i="55" s="1"/>
  <c r="Y44" i="55"/>
  <c r="Y55" i="55" s="1"/>
  <c r="Y57" i="55" s="1"/>
  <c r="Y59" i="55" s="1"/>
  <c r="Y61" i="55" s="1"/>
  <c r="R65" i="55" l="1"/>
  <c r="X63" i="55"/>
  <c r="R61" i="55"/>
  <c r="X61" i="55"/>
  <c r="Y65" i="55"/>
  <c r="Y63" i="55"/>
  <c r="H19" i="28" l="1"/>
  <c r="M19" i="28" s="1"/>
  <c r="H25" i="31"/>
  <c r="H20" i="31" l="1"/>
  <c r="H30" i="31"/>
  <c r="H24" i="31"/>
  <c r="H32" i="31"/>
  <c r="H22" i="31"/>
  <c r="H34" i="31"/>
  <c r="L42" i="31"/>
  <c r="Q19" i="28"/>
  <c r="K19" i="28"/>
  <c r="F32" i="31" l="1"/>
  <c r="N74" i="55"/>
  <c r="P74" i="55" s="1"/>
  <c r="J32" i="31"/>
  <c r="N75" i="55"/>
  <c r="P75" i="55" s="1"/>
  <c r="F34" i="31"/>
  <c r="N70" i="55"/>
  <c r="P70" i="55" s="1"/>
  <c r="F22" i="31"/>
  <c r="N71" i="55"/>
  <c r="P71" i="55" s="1"/>
  <c r="F24" i="31"/>
  <c r="N73" i="55"/>
  <c r="P73" i="55" s="1"/>
  <c r="F30" i="31"/>
  <c r="H35" i="31"/>
  <c r="F20" i="31"/>
  <c r="N69" i="55"/>
  <c r="F35" i="31" l="1"/>
  <c r="F25" i="31"/>
  <c r="P69" i="55"/>
  <c r="P77" i="55" s="1"/>
  <c r="N77" i="55"/>
  <c r="O79" i="55" l="1"/>
  <c r="G38" i="55" s="1"/>
  <c r="G40" i="55" s="1"/>
  <c r="G43" i="55" s="1"/>
  <c r="G27" i="55" s="1"/>
  <c r="G33" i="55" s="1"/>
  <c r="U34" i="55" l="1"/>
  <c r="U36" i="55" s="1"/>
  <c r="U38" i="55" s="1"/>
  <c r="U39" i="55" s="1"/>
  <c r="V34" i="55"/>
  <c r="V36" i="55" s="1"/>
  <c r="V38" i="55" s="1"/>
  <c r="V39" i="55" s="1"/>
  <c r="M34" i="55"/>
  <c r="P34" i="55"/>
  <c r="P36" i="55" s="1"/>
  <c r="P38" i="55" s="1"/>
  <c r="P39" i="55" s="1"/>
  <c r="O34" i="55"/>
  <c r="O36" i="55" s="1"/>
  <c r="O38" i="55" s="1"/>
  <c r="O39" i="55" s="1"/>
  <c r="N34" i="55"/>
  <c r="N36" i="55" s="1"/>
  <c r="N38" i="55" s="1"/>
  <c r="N39" i="55" s="1"/>
  <c r="T34" i="55"/>
  <c r="T36" i="55" s="1"/>
  <c r="T38" i="55" s="1"/>
  <c r="T39" i="55" s="1"/>
  <c r="V44" i="55" l="1"/>
  <c r="V55" i="55" s="1"/>
  <c r="V57" i="55" s="1"/>
  <c r="V59" i="55" s="1"/>
  <c r="U44" i="55"/>
  <c r="U55" i="55" s="1"/>
  <c r="U57" i="55" s="1"/>
  <c r="U59" i="55" s="1"/>
  <c r="U65" i="55" s="1"/>
  <c r="T44" i="55"/>
  <c r="T55" i="55" s="1"/>
  <c r="T57" i="55" s="1"/>
  <c r="T59" i="55" s="1"/>
  <c r="I30" i="31" s="1"/>
  <c r="J30" i="31" s="1"/>
  <c r="O44" i="55"/>
  <c r="O55" i="55" s="1"/>
  <c r="O57" i="55" s="1"/>
  <c r="O59" i="55" s="1"/>
  <c r="I22" i="31" s="1"/>
  <c r="J22" i="31" s="1"/>
  <c r="N44" i="55"/>
  <c r="N55" i="55" s="1"/>
  <c r="N57" i="55" s="1"/>
  <c r="N59" i="55" s="1"/>
  <c r="I20" i="31" s="1"/>
  <c r="J20" i="31" s="1"/>
  <c r="P44" i="55"/>
  <c r="P55" i="55" s="1"/>
  <c r="P57" i="55" s="1"/>
  <c r="P59" i="55" s="1"/>
  <c r="I24" i="31" s="1"/>
  <c r="J24" i="31" s="1"/>
  <c r="V61" i="55" l="1"/>
  <c r="I34" i="31"/>
  <c r="J34" i="31" s="1"/>
  <c r="J35" i="31" s="1"/>
  <c r="L35" i="31" s="1"/>
  <c r="L49" i="28" s="1"/>
  <c r="V63" i="55"/>
  <c r="U63" i="55"/>
  <c r="V65" i="55"/>
  <c r="U61" i="55"/>
  <c r="T63" i="55"/>
  <c r="T61" i="55"/>
  <c r="T65" i="55"/>
  <c r="O63" i="55"/>
  <c r="O65" i="55"/>
  <c r="O61" i="55"/>
  <c r="N61" i="55"/>
  <c r="N63" i="55"/>
  <c r="P63" i="55"/>
  <c r="P65" i="55"/>
  <c r="P61" i="55"/>
  <c r="N65" i="55"/>
  <c r="J25" i="31"/>
  <c r="G57" i="28" l="1"/>
  <c r="G58" i="28"/>
  <c r="G60" i="28"/>
  <c r="G59" i="28"/>
  <c r="G61" i="28"/>
  <c r="L25" i="31"/>
  <c r="H49" i="28" s="1"/>
  <c r="N35" i="31"/>
  <c r="L37" i="31" s="1"/>
  <c r="J39" i="31"/>
  <c r="F83" i="31" s="1"/>
  <c r="Z407" i="2" l="1"/>
  <c r="Z279" i="2"/>
  <c r="Z394" i="2"/>
  <c r="Z266" i="2"/>
  <c r="Z469" i="2"/>
  <c r="Z341" i="2"/>
  <c r="Z424" i="2"/>
  <c r="Z296" i="2"/>
  <c r="Z379" i="2"/>
  <c r="Z251" i="2"/>
  <c r="Z454" i="2"/>
  <c r="Z326" i="2"/>
  <c r="Z409" i="2"/>
  <c r="Z281" i="2"/>
  <c r="Z356" i="2"/>
  <c r="Z399" i="2"/>
  <c r="Z271" i="2"/>
  <c r="Z386" i="2"/>
  <c r="Z258" i="2"/>
  <c r="Z461" i="2"/>
  <c r="Z333" i="2"/>
  <c r="Z416" i="2"/>
  <c r="Z288" i="2"/>
  <c r="Z371" i="2"/>
  <c r="Z243" i="2"/>
  <c r="Z446" i="2"/>
  <c r="Z318" i="2"/>
  <c r="Z401" i="2"/>
  <c r="Z273" i="2"/>
  <c r="Z476" i="2"/>
  <c r="Z348" i="2"/>
  <c r="Z391" i="2"/>
  <c r="Z263" i="2"/>
  <c r="Z378" i="2"/>
  <c r="Z250" i="2"/>
  <c r="Z453" i="2"/>
  <c r="Z325" i="2"/>
  <c r="Z408" i="2"/>
  <c r="Z280" i="2"/>
  <c r="Z363" i="2"/>
  <c r="Z246" i="2"/>
  <c r="Z438" i="2"/>
  <c r="Z310" i="2"/>
  <c r="Z393" i="2"/>
  <c r="Z265" i="2"/>
  <c r="Z468" i="2"/>
  <c r="Z340" i="2"/>
  <c r="Z383" i="2"/>
  <c r="Z255" i="2"/>
  <c r="Z370" i="2"/>
  <c r="Z232" i="2"/>
  <c r="Z445" i="2"/>
  <c r="Z317" i="2"/>
  <c r="Z400" i="2"/>
  <c r="Z272" i="2"/>
  <c r="Z355" i="2"/>
  <c r="Z430" i="2"/>
  <c r="Z302" i="2"/>
  <c r="Z385" i="2"/>
  <c r="Z257" i="2"/>
  <c r="Z460" i="2"/>
  <c r="Z332" i="2"/>
  <c r="Z375" i="2"/>
  <c r="Z247" i="2"/>
  <c r="Z362" i="2"/>
  <c r="Z437" i="2"/>
  <c r="Z309" i="2"/>
  <c r="Z392" i="2"/>
  <c r="Z264" i="2"/>
  <c r="Z475" i="2"/>
  <c r="Z347" i="2"/>
  <c r="Z422" i="2"/>
  <c r="Z294" i="2"/>
  <c r="Z377" i="2"/>
  <c r="Z249" i="2"/>
  <c r="Z452" i="2"/>
  <c r="Z324" i="2"/>
  <c r="Z455" i="2"/>
  <c r="Z442" i="2"/>
  <c r="Z389" i="2"/>
  <c r="Z374" i="2"/>
  <c r="Z276" i="2"/>
  <c r="Z367" i="2"/>
  <c r="Z237" i="2"/>
  <c r="Z354" i="2"/>
  <c r="Z429" i="2"/>
  <c r="Z301" i="2"/>
  <c r="Z384" i="2"/>
  <c r="Z256" i="2"/>
  <c r="Z467" i="2"/>
  <c r="Z339" i="2"/>
  <c r="Z414" i="2"/>
  <c r="Z286" i="2"/>
  <c r="Z369" i="2"/>
  <c r="Z234" i="2"/>
  <c r="Z444" i="2"/>
  <c r="Z316" i="2"/>
  <c r="Z327" i="2"/>
  <c r="Z472" i="2"/>
  <c r="Z359" i="2"/>
  <c r="Z474" i="2"/>
  <c r="Z346" i="2"/>
  <c r="Z421" i="2"/>
  <c r="Z293" i="2"/>
  <c r="Z376" i="2"/>
  <c r="Z248" i="2"/>
  <c r="Z459" i="2"/>
  <c r="Z331" i="2"/>
  <c r="Z406" i="2"/>
  <c r="Z278" i="2"/>
  <c r="Z361" i="2"/>
  <c r="Z436" i="2"/>
  <c r="Z308" i="2"/>
  <c r="Z241" i="2"/>
  <c r="Z479" i="2"/>
  <c r="Z351" i="2"/>
  <c r="Z466" i="2"/>
  <c r="Z338" i="2"/>
  <c r="Z413" i="2"/>
  <c r="Z285" i="2"/>
  <c r="Z368" i="2"/>
  <c r="Z233" i="2"/>
  <c r="Z451" i="2"/>
  <c r="Z323" i="2"/>
  <c r="Z398" i="2"/>
  <c r="Z270" i="2"/>
  <c r="Z481" i="2"/>
  <c r="Z353" i="2"/>
  <c r="Z428" i="2"/>
  <c r="Z300" i="2"/>
  <c r="Z344" i="2"/>
  <c r="Z329" i="2"/>
  <c r="Z471" i="2"/>
  <c r="Z343" i="2"/>
  <c r="Z458" i="2"/>
  <c r="Z330" i="2"/>
  <c r="Z405" i="2"/>
  <c r="Z277" i="2"/>
  <c r="Z360" i="2"/>
  <c r="Z238" i="2"/>
  <c r="Z443" i="2"/>
  <c r="Z315" i="2"/>
  <c r="Z390" i="2"/>
  <c r="Z262" i="2"/>
  <c r="Z473" i="2"/>
  <c r="Z345" i="2"/>
  <c r="Z420" i="2"/>
  <c r="Z292" i="2"/>
  <c r="Z242" i="2"/>
  <c r="Z261" i="2"/>
  <c r="Z299" i="2"/>
  <c r="Z457" i="2"/>
  <c r="Z463" i="2"/>
  <c r="Z335" i="2"/>
  <c r="Z450" i="2"/>
  <c r="Z322" i="2"/>
  <c r="Z397" i="2"/>
  <c r="Z269" i="2"/>
  <c r="Z480" i="2"/>
  <c r="Z352" i="2"/>
  <c r="Z435" i="2"/>
  <c r="Z307" i="2"/>
  <c r="Z382" i="2"/>
  <c r="Z254" i="2"/>
  <c r="Z465" i="2"/>
  <c r="Z337" i="2"/>
  <c r="Z412" i="2"/>
  <c r="Z284" i="2"/>
  <c r="Z314" i="2"/>
  <c r="Z427" i="2"/>
  <c r="Z404" i="2"/>
  <c r="Z447" i="2"/>
  <c r="Z319" i="2"/>
  <c r="Z434" i="2"/>
  <c r="Z306" i="2"/>
  <c r="Z381" i="2"/>
  <c r="Z253" i="2"/>
  <c r="Z464" i="2"/>
  <c r="Z336" i="2"/>
  <c r="Z419" i="2"/>
  <c r="Z291" i="2"/>
  <c r="Z366" i="2"/>
  <c r="Z236" i="2"/>
  <c r="Z449" i="2"/>
  <c r="Z321" i="2"/>
  <c r="Z396" i="2"/>
  <c r="Z268" i="2"/>
  <c r="Z439" i="2"/>
  <c r="Z311" i="2"/>
  <c r="Z426" i="2"/>
  <c r="Z298" i="2"/>
  <c r="Z373" i="2"/>
  <c r="Z245" i="2"/>
  <c r="Z456" i="2"/>
  <c r="Z328" i="2"/>
  <c r="Z411" i="2"/>
  <c r="Z283" i="2"/>
  <c r="Z358" i="2"/>
  <c r="Z231" i="2"/>
  <c r="Z441" i="2"/>
  <c r="Z313" i="2"/>
  <c r="Z388" i="2"/>
  <c r="Z260" i="2"/>
  <c r="Z431" i="2"/>
  <c r="Z303" i="2"/>
  <c r="Z418" i="2"/>
  <c r="Z290" i="2"/>
  <c r="Z365" i="2"/>
  <c r="Z235" i="2"/>
  <c r="Z448" i="2"/>
  <c r="Z320" i="2"/>
  <c r="Z403" i="2"/>
  <c r="Z275" i="2"/>
  <c r="Z478" i="2"/>
  <c r="Z350" i="2"/>
  <c r="Z433" i="2"/>
  <c r="Z305" i="2"/>
  <c r="Z380" i="2"/>
  <c r="Z252" i="2"/>
  <c r="Z423" i="2"/>
  <c r="Z295" i="2"/>
  <c r="Z410" i="2"/>
  <c r="Z282" i="2"/>
  <c r="Z357" i="2"/>
  <c r="Z240" i="2"/>
  <c r="Z440" i="2"/>
  <c r="Z312" i="2"/>
  <c r="Z395" i="2"/>
  <c r="Z267" i="2"/>
  <c r="Z470" i="2"/>
  <c r="Z342" i="2"/>
  <c r="Z425" i="2"/>
  <c r="Z297" i="2"/>
  <c r="Z372" i="2"/>
  <c r="Z244" i="2"/>
  <c r="Z415" i="2"/>
  <c r="Z287" i="2"/>
  <c r="Z402" i="2"/>
  <c r="Z274" i="2"/>
  <c r="Z477" i="2"/>
  <c r="Z349" i="2"/>
  <c r="Z432" i="2"/>
  <c r="Z304" i="2"/>
  <c r="Z387" i="2"/>
  <c r="Z259" i="2"/>
  <c r="Z462" i="2"/>
  <c r="Z334" i="2"/>
  <c r="Z417" i="2"/>
  <c r="Z289" i="2"/>
  <c r="Z364" i="2"/>
  <c r="Z239" i="2"/>
  <c r="Z216" i="2"/>
  <c r="Z219" i="2"/>
  <c r="Z214" i="2"/>
  <c r="Z213" i="2"/>
  <c r="Z212" i="2"/>
  <c r="Z217" i="2"/>
  <c r="Z220" i="2"/>
  <c r="Z221" i="2"/>
  <c r="Z218" i="2"/>
  <c r="Z215" i="2"/>
  <c r="Z226" i="2"/>
  <c r="Z222" i="2"/>
  <c r="Z224" i="2"/>
  <c r="Z230" i="2"/>
  <c r="Z227" i="2"/>
  <c r="Z223" i="2"/>
  <c r="Z228" i="2"/>
  <c r="Z229" i="2"/>
  <c r="Z225" i="2"/>
  <c r="Z209" i="2"/>
  <c r="Z193" i="2"/>
  <c r="Z195" i="2"/>
  <c r="Z62" i="2"/>
  <c r="Z120" i="2"/>
  <c r="Z116" i="2"/>
  <c r="Z115" i="2"/>
  <c r="Z117" i="2"/>
  <c r="Z114" i="2"/>
  <c r="H59" i="28"/>
  <c r="H61" i="28"/>
  <c r="H60" i="28"/>
  <c r="H58" i="28"/>
  <c r="H57" i="28"/>
  <c r="Z65" i="2"/>
  <c r="Z63" i="2"/>
  <c r="Z64" i="2"/>
  <c r="I49" i="28"/>
  <c r="Z176" i="2"/>
  <c r="Z188" i="2"/>
  <c r="Z168" i="2"/>
  <c r="Z150" i="2"/>
  <c r="Z124" i="2"/>
  <c r="Z177" i="2"/>
  <c r="Z128" i="2"/>
  <c r="Z138" i="2"/>
  <c r="Z77" i="2"/>
  <c r="Z146" i="2"/>
  <c r="Z106" i="2"/>
  <c r="Z162" i="2"/>
  <c r="Z51" i="2"/>
  <c r="Z44" i="2"/>
  <c r="Z118" i="2"/>
  <c r="Z161" i="2"/>
  <c r="Z69" i="2"/>
  <c r="Z103" i="2"/>
  <c r="Z149" i="2"/>
  <c r="Z67" i="2"/>
  <c r="Z136" i="2"/>
  <c r="Z184" i="2"/>
  <c r="Z50" i="2"/>
  <c r="Z112" i="2"/>
  <c r="Z183" i="2"/>
  <c r="Z185" i="2"/>
  <c r="Z186" i="2"/>
  <c r="Z34" i="2"/>
  <c r="Z80" i="2"/>
  <c r="Z74" i="2"/>
  <c r="Z68" i="2"/>
  <c r="Z164" i="2"/>
  <c r="Z84" i="2"/>
  <c r="Z187" i="2"/>
  <c r="Z73" i="2"/>
  <c r="Z104" i="2"/>
  <c r="Z152" i="2"/>
  <c r="Z78" i="2"/>
  <c r="Z105" i="2"/>
  <c r="Z46" i="2"/>
  <c r="Z76" i="2"/>
  <c r="Z27" i="2"/>
  <c r="Z163" i="2"/>
  <c r="Z21" i="2"/>
  <c r="Z182" i="2"/>
  <c r="Z210" i="2"/>
  <c r="Z22" i="2"/>
  <c r="Z166" i="2"/>
  <c r="Z14" i="2"/>
  <c r="Z79" i="2"/>
  <c r="Z52" i="2"/>
  <c r="Z147" i="2"/>
  <c r="Z45" i="2"/>
  <c r="Z135" i="2"/>
  <c r="Z133" i="2"/>
  <c r="Z134" i="2"/>
  <c r="Z28" i="2"/>
  <c r="Z121" i="2"/>
  <c r="Z48" i="2"/>
  <c r="Z189" i="2"/>
  <c r="Z181" i="2"/>
  <c r="Z175" i="2"/>
  <c r="Z132" i="2"/>
  <c r="Z15" i="2"/>
  <c r="Z82" i="2"/>
  <c r="Z57" i="2"/>
  <c r="Z160" i="2"/>
  <c r="Z83" i="2"/>
  <c r="Z165" i="2"/>
  <c r="Z33" i="2"/>
  <c r="Z61" i="2"/>
  <c r="Z55" i="2"/>
  <c r="Z36" i="2"/>
  <c r="Z137" i="2"/>
  <c r="Z16" i="2"/>
  <c r="Z113" i="2"/>
  <c r="Z58" i="2"/>
  <c r="Z179" i="2"/>
  <c r="Z20" i="2"/>
  <c r="Z54" i="2"/>
  <c r="Z190" i="2"/>
  <c r="Z191" i="2"/>
  <c r="Z211" i="2"/>
  <c r="Z29" i="2"/>
  <c r="Z96" i="2"/>
  <c r="Z49" i="2"/>
  <c r="Z72" i="2"/>
  <c r="Z42" i="2"/>
  <c r="Z109" i="2"/>
  <c r="Z174" i="2"/>
  <c r="Z59" i="2"/>
  <c r="Z199" i="2"/>
  <c r="Z129" i="2"/>
  <c r="Z81" i="2"/>
  <c r="Z39" i="2"/>
  <c r="Z154" i="2"/>
  <c r="Z144" i="2"/>
  <c r="Z122" i="2"/>
  <c r="Z197" i="2"/>
  <c r="Z204" i="2"/>
  <c r="Z159" i="2"/>
  <c r="Z171" i="2"/>
  <c r="Z91" i="2"/>
  <c r="Z43" i="2"/>
  <c r="Z167" i="2"/>
  <c r="Z93" i="2"/>
  <c r="Z95" i="2"/>
  <c r="Z157" i="2"/>
  <c r="Z111" i="2"/>
  <c r="Z35" i="2"/>
  <c r="Z178" i="2"/>
  <c r="Z97" i="2"/>
  <c r="Z40" i="2"/>
  <c r="Z205" i="2"/>
  <c r="Z119" i="2"/>
  <c r="Z108" i="2"/>
  <c r="Z200" i="2"/>
  <c r="Z131" i="2"/>
  <c r="Z125" i="2"/>
  <c r="Z70" i="2"/>
  <c r="Z145" i="2"/>
  <c r="Z207" i="2"/>
  <c r="Z32" i="2"/>
  <c r="Z98" i="2"/>
  <c r="Z126" i="2"/>
  <c r="Z153" i="2"/>
  <c r="Z172" i="2"/>
  <c r="Z66" i="2"/>
  <c r="Z75" i="2"/>
  <c r="Z100" i="2"/>
  <c r="Z123" i="2"/>
  <c r="Z37" i="2"/>
  <c r="Z94" i="2"/>
  <c r="Z158" i="2"/>
  <c r="Z151" i="2"/>
  <c r="Z156" i="2"/>
  <c r="Z102" i="2"/>
  <c r="Z173" i="2"/>
  <c r="Z18" i="2"/>
  <c r="Z110" i="2"/>
  <c r="Z148" i="2"/>
  <c r="Z23" i="2"/>
  <c r="Z53" i="2"/>
  <c r="Z85" i="2"/>
  <c r="Z31" i="2"/>
  <c r="Z107" i="2"/>
  <c r="Z202" i="2"/>
  <c r="Z139" i="2"/>
  <c r="Z88" i="2"/>
  <c r="Z56" i="2"/>
  <c r="Z87" i="2"/>
  <c r="Z142" i="2"/>
  <c r="Z71" i="2"/>
  <c r="Z24" i="2"/>
  <c r="Z198" i="2"/>
  <c r="Z60" i="2"/>
  <c r="Z155" i="2"/>
  <c r="Z194" i="2"/>
  <c r="Z19" i="2"/>
  <c r="Z141" i="2"/>
  <c r="Z26" i="2"/>
  <c r="Z30" i="2"/>
  <c r="Z143" i="2"/>
  <c r="Z201" i="2"/>
  <c r="Z41" i="2"/>
  <c r="Z206" i="2"/>
  <c r="Z99" i="2"/>
  <c r="Z192" i="2"/>
  <c r="Z130" i="2"/>
  <c r="Z89" i="2"/>
  <c r="Z90" i="2"/>
  <c r="Z86" i="2"/>
  <c r="Z127" i="2"/>
  <c r="Z169" i="2"/>
  <c r="Z17" i="2"/>
  <c r="Z170" i="2"/>
  <c r="Z196" i="2"/>
  <c r="Z180" i="2"/>
  <c r="Z140" i="2"/>
  <c r="Z101" i="2"/>
  <c r="Z208" i="2"/>
  <c r="Z47" i="2"/>
  <c r="Z25" i="2"/>
  <c r="Z92" i="2"/>
  <c r="Z203" i="2"/>
  <c r="Z38" i="2"/>
  <c r="J44" i="31"/>
  <c r="F57" i="28" l="1"/>
  <c r="I57" i="28" s="1"/>
  <c r="F60" i="28"/>
  <c r="I60" i="28" s="1"/>
  <c r="F61" i="28"/>
  <c r="I61" i="28" s="1"/>
  <c r="F58" i="28"/>
  <c r="I58" i="28" s="1"/>
  <c r="F59" i="28"/>
  <c r="I59" i="28" s="1"/>
  <c r="J56" i="31"/>
  <c r="L52" i="31"/>
  <c r="J57" i="31" l="1"/>
  <c r="J58" i="31" s="1"/>
  <c r="E17" i="28"/>
  <c r="F18" i="28"/>
  <c r="E21" i="28"/>
  <c r="F19" i="28"/>
  <c r="F17" i="28"/>
  <c r="E18" i="28"/>
  <c r="E19" i="28"/>
  <c r="E20" i="28"/>
  <c r="F21" i="28"/>
  <c r="F20" i="28"/>
  <c r="Q60" i="28" l="1"/>
  <c r="Q61" i="28"/>
  <c r="Q57" i="28"/>
  <c r="Q59" i="28"/>
  <c r="Q58" i="28"/>
  <c r="T60" i="28"/>
  <c r="T61" i="28"/>
  <c r="T59" i="28"/>
  <c r="T57" i="28"/>
  <c r="T58" i="28"/>
  <c r="AA115" i="2" l="1"/>
  <c r="AA117" i="2"/>
  <c r="AA114" i="2"/>
  <c r="AA116" i="2"/>
  <c r="AA429" i="2"/>
  <c r="AA437" i="2"/>
  <c r="AA445" i="2"/>
  <c r="AA453" i="2"/>
  <c r="AA461" i="2"/>
  <c r="AA469" i="2"/>
  <c r="AA479" i="2"/>
  <c r="AA426" i="2"/>
  <c r="AA434" i="2"/>
  <c r="AA442" i="2"/>
  <c r="AA450" i="2"/>
  <c r="AA458" i="2"/>
  <c r="AA466" i="2"/>
  <c r="AA474" i="2"/>
  <c r="AA431" i="2"/>
  <c r="AA439" i="2"/>
  <c r="AA447" i="2"/>
  <c r="AA455" i="2"/>
  <c r="AA463" i="2"/>
  <c r="AA471" i="2"/>
  <c r="AA476" i="2"/>
  <c r="AA481" i="2"/>
  <c r="AA428" i="2"/>
  <c r="AA436" i="2"/>
  <c r="AA444" i="2"/>
  <c r="AA452" i="2"/>
  <c r="AA460" i="2"/>
  <c r="AA468" i="2"/>
  <c r="AA478" i="2"/>
  <c r="AA433" i="2"/>
  <c r="AA441" i="2"/>
  <c r="AA449" i="2"/>
  <c r="AA457" i="2"/>
  <c r="AA465" i="2"/>
  <c r="AA473" i="2"/>
  <c r="AA430" i="2"/>
  <c r="AA438" i="2"/>
  <c r="AA446" i="2"/>
  <c r="AA454" i="2"/>
  <c r="AA462" i="2"/>
  <c r="AA470" i="2"/>
  <c r="AA475" i="2"/>
  <c r="AA480" i="2"/>
  <c r="AA427" i="2"/>
  <c r="AA435" i="2"/>
  <c r="AA443" i="2"/>
  <c r="AA451" i="2"/>
  <c r="AA459" i="2"/>
  <c r="AA467" i="2"/>
  <c r="AA477" i="2"/>
  <c r="AA432" i="2"/>
  <c r="AA440" i="2"/>
  <c r="AA448" i="2"/>
  <c r="AA456" i="2"/>
  <c r="AA464" i="2"/>
  <c r="AA472" i="2"/>
  <c r="AA245" i="2"/>
  <c r="AA253" i="2"/>
  <c r="AA261" i="2"/>
  <c r="AA269" i="2"/>
  <c r="AA277" i="2"/>
  <c r="AA285" i="2"/>
  <c r="AA293" i="2"/>
  <c r="AA301" i="2"/>
  <c r="AA309" i="2"/>
  <c r="AA317" i="2"/>
  <c r="AA325" i="2"/>
  <c r="AA333" i="2"/>
  <c r="AA341" i="2"/>
  <c r="AA349" i="2"/>
  <c r="AA357" i="2"/>
  <c r="AA232" i="2"/>
  <c r="AA237" i="2"/>
  <c r="AA242" i="2"/>
  <c r="AA250" i="2"/>
  <c r="AA258" i="2"/>
  <c r="AA266" i="2"/>
  <c r="AA274" i="2"/>
  <c r="AA282" i="2"/>
  <c r="AA290" i="2"/>
  <c r="AA298" i="2"/>
  <c r="AA306" i="2"/>
  <c r="AA314" i="2"/>
  <c r="AA322" i="2"/>
  <c r="AA330" i="2"/>
  <c r="AA338" i="2"/>
  <c r="AA346" i="2"/>
  <c r="AA354" i="2"/>
  <c r="AA247" i="2"/>
  <c r="AA255" i="2"/>
  <c r="AA263" i="2"/>
  <c r="AA271" i="2"/>
  <c r="AA279" i="2"/>
  <c r="AA287" i="2"/>
  <c r="AA295" i="2"/>
  <c r="AA303" i="2"/>
  <c r="AA311" i="2"/>
  <c r="AA319" i="2"/>
  <c r="AA327" i="2"/>
  <c r="AA335" i="2"/>
  <c r="AA343" i="2"/>
  <c r="AA351" i="2"/>
  <c r="AA234" i="2"/>
  <c r="AA239" i="2"/>
  <c r="AA244" i="2"/>
  <c r="AA252" i="2"/>
  <c r="AA260" i="2"/>
  <c r="AA268" i="2"/>
  <c r="AA276" i="2"/>
  <c r="AA284" i="2"/>
  <c r="AA292" i="2"/>
  <c r="AA300" i="2"/>
  <c r="AA308" i="2"/>
  <c r="AA316" i="2"/>
  <c r="AA324" i="2"/>
  <c r="AA332" i="2"/>
  <c r="AA340" i="2"/>
  <c r="AA348" i="2"/>
  <c r="AA356" i="2"/>
  <c r="AA231" i="2"/>
  <c r="AA241" i="2"/>
  <c r="AA249" i="2"/>
  <c r="AA257" i="2"/>
  <c r="AA265" i="2"/>
  <c r="AA273" i="2"/>
  <c r="AA281" i="2"/>
  <c r="AA289" i="2"/>
  <c r="AA297" i="2"/>
  <c r="AA305" i="2"/>
  <c r="AA313" i="2"/>
  <c r="AA321" i="2"/>
  <c r="AA329" i="2"/>
  <c r="AA337" i="2"/>
  <c r="AA345" i="2"/>
  <c r="AA353" i="2"/>
  <c r="AA236" i="2"/>
  <c r="AA246" i="2"/>
  <c r="AA254" i="2"/>
  <c r="AA262" i="2"/>
  <c r="AA270" i="2"/>
  <c r="AA278" i="2"/>
  <c r="AA286" i="2"/>
  <c r="AA294" i="2"/>
  <c r="AA302" i="2"/>
  <c r="AA310" i="2"/>
  <c r="AA318" i="2"/>
  <c r="AA326" i="2"/>
  <c r="AA334" i="2"/>
  <c r="AA342" i="2"/>
  <c r="AA350" i="2"/>
  <c r="AA238" i="2"/>
  <c r="AA233" i="2"/>
  <c r="AA243" i="2"/>
  <c r="AA251" i="2"/>
  <c r="AA259" i="2"/>
  <c r="AA267" i="2"/>
  <c r="AA275" i="2"/>
  <c r="AA283" i="2"/>
  <c r="AA291" i="2"/>
  <c r="AA299" i="2"/>
  <c r="AA307" i="2"/>
  <c r="AA315" i="2"/>
  <c r="AA323" i="2"/>
  <c r="AA331" i="2"/>
  <c r="AA339" i="2"/>
  <c r="AA347" i="2"/>
  <c r="AA355" i="2"/>
  <c r="AA248" i="2"/>
  <c r="AA256" i="2"/>
  <c r="AA264" i="2"/>
  <c r="AA272" i="2"/>
  <c r="AA280" i="2"/>
  <c r="AA288" i="2"/>
  <c r="AA296" i="2"/>
  <c r="AA304" i="2"/>
  <c r="AA312" i="2"/>
  <c r="AA320" i="2"/>
  <c r="AA328" i="2"/>
  <c r="AA336" i="2"/>
  <c r="AA344" i="2"/>
  <c r="AA352" i="2"/>
  <c r="AA235" i="2"/>
  <c r="AA240" i="2"/>
  <c r="AA62" i="2"/>
  <c r="AA365" i="2"/>
  <c r="AA373" i="2"/>
  <c r="AA381" i="2"/>
  <c r="AA389" i="2"/>
  <c r="AA397" i="2"/>
  <c r="AA405" i="2"/>
  <c r="AA413" i="2"/>
  <c r="AA421" i="2"/>
  <c r="AA362" i="2"/>
  <c r="AA370" i="2"/>
  <c r="AA378" i="2"/>
  <c r="AA386" i="2"/>
  <c r="AA394" i="2"/>
  <c r="AA402" i="2"/>
  <c r="AA410" i="2"/>
  <c r="AA418" i="2"/>
  <c r="AA359" i="2"/>
  <c r="AA367" i="2"/>
  <c r="AA375" i="2"/>
  <c r="AA383" i="2"/>
  <c r="AA391" i="2"/>
  <c r="AA399" i="2"/>
  <c r="AA407" i="2"/>
  <c r="AA415" i="2"/>
  <c r="AA423" i="2"/>
  <c r="AA364" i="2"/>
  <c r="AA372" i="2"/>
  <c r="AA380" i="2"/>
  <c r="AA388" i="2"/>
  <c r="AA396" i="2"/>
  <c r="AA404" i="2"/>
  <c r="AA412" i="2"/>
  <c r="AA420" i="2"/>
  <c r="AA361" i="2"/>
  <c r="AA369" i="2"/>
  <c r="AA377" i="2"/>
  <c r="AA385" i="2"/>
  <c r="AA393" i="2"/>
  <c r="AA401" i="2"/>
  <c r="AA409" i="2"/>
  <c r="AA417" i="2"/>
  <c r="AA425" i="2"/>
  <c r="AA358" i="2"/>
  <c r="AA366" i="2"/>
  <c r="AA374" i="2"/>
  <c r="AA382" i="2"/>
  <c r="AA390" i="2"/>
  <c r="AA398" i="2"/>
  <c r="AA406" i="2"/>
  <c r="AA414" i="2"/>
  <c r="AA422" i="2"/>
  <c r="AA363" i="2"/>
  <c r="AA371" i="2"/>
  <c r="AA379" i="2"/>
  <c r="AA387" i="2"/>
  <c r="AA395" i="2"/>
  <c r="AA403" i="2"/>
  <c r="AA411" i="2"/>
  <c r="AA419" i="2"/>
  <c r="AA360" i="2"/>
  <c r="AA368" i="2"/>
  <c r="AA376" i="2"/>
  <c r="AA384" i="2"/>
  <c r="AA392" i="2"/>
  <c r="AA400" i="2"/>
  <c r="AA408" i="2"/>
  <c r="AA416" i="2"/>
  <c r="AA424" i="2"/>
  <c r="AA221" i="2"/>
  <c r="AA217" i="2"/>
  <c r="AA213" i="2"/>
  <c r="AA218" i="2"/>
  <c r="AA214" i="2"/>
  <c r="AA219" i="2"/>
  <c r="AA215" i="2"/>
  <c r="AA212" i="2"/>
  <c r="AA220" i="2"/>
  <c r="AA216" i="2"/>
  <c r="AA228" i="2"/>
  <c r="AA224" i="2"/>
  <c r="AA225" i="2"/>
  <c r="AA223" i="2"/>
  <c r="AA229" i="2"/>
  <c r="AA222" i="2"/>
  <c r="AA226" i="2"/>
  <c r="AA230" i="2"/>
  <c r="AA227" i="2"/>
  <c r="AA209" i="2"/>
  <c r="AA193" i="2"/>
  <c r="AA195" i="2"/>
  <c r="M60" i="28" l="1"/>
  <c r="M59" i="28"/>
  <c r="M61" i="28"/>
  <c r="M58" i="28"/>
  <c r="M57" i="28"/>
  <c r="J74" i="31"/>
  <c r="J75" i="31" s="1"/>
  <c r="J76" i="31" s="1"/>
  <c r="L90" i="28" l="1"/>
  <c r="AA18" i="2"/>
  <c r="AA65" i="2"/>
  <c r="AA63" i="2"/>
  <c r="AA64" i="2"/>
  <c r="AA111" i="2"/>
  <c r="AA68" i="2"/>
  <c r="AA67" i="2"/>
  <c r="AA75" i="2"/>
  <c r="AA74" i="2"/>
  <c r="AA73" i="2"/>
  <c r="AA71" i="2"/>
  <c r="AA69" i="2"/>
  <c r="AA66" i="2"/>
  <c r="AA72" i="2"/>
  <c r="AA70" i="2"/>
  <c r="AA78" i="2"/>
  <c r="AA105" i="2"/>
  <c r="AA82" i="2"/>
  <c r="AA101" i="2"/>
  <c r="AA97" i="2"/>
  <c r="AA102" i="2"/>
  <c r="AA79" i="2"/>
  <c r="AA87" i="2"/>
  <c r="AA107" i="2"/>
  <c r="AA81" i="2"/>
  <c r="AA108" i="2"/>
  <c r="AA86" i="2"/>
  <c r="AA83" i="2"/>
  <c r="AA99" i="2"/>
  <c r="AA110" i="2"/>
  <c r="AA95" i="2"/>
  <c r="AA106" i="2"/>
  <c r="AA112" i="2"/>
  <c r="AA96" i="2"/>
  <c r="AA90" i="2"/>
  <c r="AA98" i="2"/>
  <c r="AA103" i="2"/>
  <c r="AA85" i="2"/>
  <c r="AA100" i="2"/>
  <c r="AA104" i="2"/>
  <c r="AA80" i="2"/>
  <c r="AA91" i="2"/>
  <c r="AA76" i="2"/>
  <c r="AA109" i="2"/>
  <c r="AA92" i="2"/>
  <c r="AA118" i="2"/>
  <c r="AA84" i="2"/>
  <c r="AA113" i="2"/>
  <c r="AA89" i="2"/>
  <c r="AA93" i="2"/>
  <c r="AA77" i="2"/>
  <c r="AA88" i="2"/>
  <c r="AA94" i="2"/>
  <c r="AA16" i="2"/>
  <c r="AA15" i="2"/>
  <c r="AA14" i="2"/>
  <c r="AA17" i="2"/>
  <c r="AA22" i="2"/>
  <c r="AA20" i="2"/>
  <c r="AA21" i="2"/>
  <c r="AA19" i="2"/>
  <c r="I90" i="28"/>
  <c r="E90" i="28"/>
  <c r="F90" i="28"/>
  <c r="G90" i="28"/>
  <c r="M90" i="28"/>
  <c r="D90" i="28"/>
  <c r="H90" i="28"/>
  <c r="J90" i="28"/>
  <c r="AA120" i="2" l="1"/>
  <c r="AA142" i="2"/>
  <c r="AA178" i="2"/>
  <c r="AA131" i="2"/>
  <c r="AA141" i="2"/>
  <c r="AA169" i="2"/>
  <c r="AA134" i="2"/>
  <c r="AA172" i="2"/>
  <c r="AA143" i="2"/>
  <c r="AA152" i="2"/>
  <c r="AA166" i="2"/>
  <c r="AA163" i="2"/>
  <c r="AA158" i="2"/>
  <c r="AA129" i="2"/>
  <c r="AA147" i="2"/>
  <c r="AA173" i="2"/>
  <c r="AA137" i="2"/>
  <c r="AA124" i="2"/>
  <c r="AA150" i="2"/>
  <c r="AA151" i="2"/>
  <c r="AA132" i="2"/>
  <c r="AA144" i="2"/>
  <c r="AA168" i="2"/>
  <c r="AA145" i="2"/>
  <c r="AA177" i="2"/>
  <c r="AA135" i="2"/>
  <c r="AA146" i="2"/>
  <c r="AA155" i="2"/>
  <c r="AA179" i="2"/>
  <c r="AA175" i="2"/>
  <c r="AA140" i="2"/>
  <c r="AA160" i="2"/>
  <c r="AA119" i="2"/>
  <c r="AA149" i="2"/>
  <c r="AA159" i="2"/>
  <c r="AA154" i="2"/>
  <c r="AA171" i="2"/>
  <c r="AA133" i="2"/>
  <c r="AA161" i="2"/>
  <c r="AA157" i="2"/>
  <c r="AA174" i="2"/>
  <c r="AA121" i="2"/>
  <c r="AA148" i="2"/>
  <c r="AA176" i="2"/>
  <c r="AA128" i="2"/>
  <c r="AA139" i="2"/>
  <c r="AA167" i="2"/>
  <c r="AA170" i="2"/>
  <c r="AA123" i="2"/>
  <c r="AA127" i="2"/>
  <c r="AA162" i="2"/>
  <c r="AA122" i="2"/>
  <c r="AA125" i="2"/>
  <c r="AA130" i="2"/>
  <c r="AA138" i="2"/>
  <c r="AA164" i="2"/>
  <c r="AA165" i="2"/>
  <c r="AA153" i="2"/>
  <c r="AA126" i="2"/>
  <c r="AA156" i="2"/>
  <c r="AA136" i="2"/>
  <c r="AA39" i="2"/>
  <c r="AA38" i="2"/>
  <c r="AA51" i="2"/>
  <c r="AA33" i="2"/>
  <c r="AA54" i="2"/>
  <c r="AA50" i="2"/>
  <c r="AA55" i="2"/>
  <c r="AA31" i="2"/>
  <c r="AA35" i="2"/>
  <c r="AA41" i="2"/>
  <c r="AA56" i="2"/>
  <c r="AA34" i="2"/>
  <c r="AA59" i="2"/>
  <c r="AA57" i="2"/>
  <c r="AA29" i="2"/>
  <c r="AA24" i="2"/>
  <c r="AA32" i="2"/>
  <c r="AA40" i="2"/>
  <c r="AA60" i="2"/>
  <c r="AA28" i="2"/>
  <c r="AA42" i="2"/>
  <c r="AA25" i="2"/>
  <c r="AA48" i="2"/>
  <c r="AA49" i="2"/>
  <c r="AA61" i="2"/>
  <c r="AA36" i="2"/>
  <c r="AA58" i="2"/>
  <c r="AA45" i="2"/>
  <c r="AA52" i="2"/>
  <c r="AA53" i="2"/>
  <c r="AA30" i="2"/>
  <c r="AA44" i="2"/>
  <c r="AA43" i="2"/>
  <c r="AA47" i="2"/>
  <c r="AA37" i="2"/>
  <c r="AA26" i="2"/>
  <c r="AA23" i="2"/>
  <c r="AA46" i="2"/>
  <c r="AA27" i="2"/>
  <c r="AA207" i="2"/>
  <c r="AA194" i="2"/>
  <c r="AA204" i="2"/>
  <c r="AA197" i="2"/>
  <c r="AA198" i="2"/>
  <c r="AA211" i="2"/>
  <c r="AA201" i="2"/>
  <c r="AA199" i="2"/>
  <c r="AA190" i="2"/>
  <c r="AA184" i="2"/>
  <c r="AA196" i="2"/>
  <c r="AA191" i="2"/>
  <c r="AA192" i="2"/>
  <c r="AA186" i="2"/>
  <c r="AA187" i="2"/>
  <c r="AA210" i="2"/>
  <c r="AA183" i="2"/>
  <c r="AA181" i="2"/>
  <c r="AA180" i="2"/>
  <c r="AA202" i="2"/>
  <c r="AA208" i="2"/>
  <c r="AA203" i="2"/>
  <c r="AA205" i="2"/>
  <c r="AA185" i="2"/>
  <c r="AA200" i="2"/>
  <c r="AA189" i="2"/>
  <c r="AA182" i="2"/>
  <c r="AA188" i="2"/>
  <c r="AA206" i="2"/>
</calcChain>
</file>

<file path=xl/sharedStrings.xml><?xml version="1.0" encoding="utf-8"?>
<sst xmlns="http://schemas.openxmlformats.org/spreadsheetml/2006/main" count="2915" uniqueCount="648">
  <si>
    <t>Calculatiemodule</t>
  </si>
  <si>
    <t>Schoonmaakonderhoud</t>
  </si>
  <si>
    <t>&amp;</t>
  </si>
  <si>
    <t>Glasbewassing</t>
  </si>
  <si>
    <t>Stichting Kolom</t>
  </si>
  <si>
    <t>Regio Amsterdam - Haarlem</t>
  </si>
  <si>
    <t>[Naam organisatie Inschrijver]</t>
  </si>
  <si>
    <t>Prijspeil :</t>
  </si>
  <si>
    <t>Besteknummer :</t>
  </si>
  <si>
    <t>2009-46–2022</t>
  </si>
  <si>
    <t>Versie</t>
  </si>
  <si>
    <t xml:space="preserve">Omschrijving blad : </t>
  </si>
  <si>
    <t>Contractblad jaarprijs schoonmaak &amp; Glasbewassing</t>
  </si>
  <si>
    <t xml:space="preserve">Naam opdrachtgever : </t>
  </si>
  <si>
    <t xml:space="preserve">Adres/plaats : </t>
  </si>
  <si>
    <t xml:space="preserve">Besteknummer : </t>
  </si>
  <si>
    <t xml:space="preserve">Versie : </t>
  </si>
  <si>
    <t xml:space="preserve">Naam leverancier : </t>
  </si>
  <si>
    <t xml:space="preserve">Prijspeil : </t>
  </si>
  <si>
    <t>JAARPRIJS SCHOONMAAK</t>
  </si>
  <si>
    <t>CATEGORIE MEDEWERKER</t>
  </si>
  <si>
    <t>PERCENTAGE INZET MEDEWERKER</t>
  </si>
  <si>
    <t>AANTAL UREN PER DAG (GEMIDDELD)</t>
  </si>
  <si>
    <t>AANTAL DAGEN PER JAAR</t>
  </si>
  <si>
    <t>AANTAL UREN PER JAAR</t>
  </si>
  <si>
    <t>TARIEF</t>
  </si>
  <si>
    <t>PRIJS PER JAAR</t>
  </si>
  <si>
    <t>PRODUCTIE-UREN MAANDAG-VRIJDAG 06:00-21:30 uur</t>
  </si>
  <si>
    <t>Toelichting</t>
  </si>
  <si>
    <t>Lngr 1 : Vakvolwassen Dienstjaar 2</t>
  </si>
  <si>
    <t>Lngr 2 : Vakvolwassen Dienstjaar 3</t>
  </si>
  <si>
    <t>Selecteer tarief uitvoerend</t>
  </si>
  <si>
    <t>[A]</t>
  </si>
  <si>
    <t>TOEZICHT-UREN MAANDAG-VRIJDAG 06:00-21:30 uur</t>
  </si>
  <si>
    <t>Lngr 5 : Vakvolwassen Dienstjaar 4</t>
  </si>
  <si>
    <t>Selecteer tarief toezicht</t>
  </si>
  <si>
    <t>[B]</t>
  </si>
  <si>
    <t>SUBTOTAAL [A+B]</t>
  </si>
  <si>
    <t>TOTAAL</t>
  </si>
  <si>
    <t>ADDITIONELE PROJECTGEBONDEN SCHOONMAAKWERKZAAMHEDEN</t>
  </si>
  <si>
    <t>UREN PER JAAR</t>
  </si>
  <si>
    <t>TARIEF PER UUR</t>
  </si>
  <si>
    <t>Sporthal 't Spil</t>
  </si>
  <si>
    <t>1.</t>
  </si>
  <si>
    <t>Gymzaal Marijkehal</t>
  </si>
  <si>
    <t>2.</t>
  </si>
  <si>
    <t>Gymzaal Buurterstraat</t>
  </si>
  <si>
    <t>3.</t>
  </si>
  <si>
    <t>Gymzaal De Havenrakkers</t>
  </si>
  <si>
    <t>4.</t>
  </si>
  <si>
    <t>TOTAAL KOSTEN PER JAAR EXCLUSIEF BTW</t>
  </si>
  <si>
    <t>B.T.W.</t>
  </si>
  <si>
    <t>Totale kosten per jaar inclusief B.T.W.</t>
  </si>
  <si>
    <t>JAARPRIJS GLASBEWASSING</t>
  </si>
  <si>
    <t>M2       BUITEGLAS</t>
  </si>
  <si>
    <t>M2     BINNENGLAS</t>
  </si>
  <si>
    <t>M2 SEPARATIEGLAS</t>
  </si>
  <si>
    <t>INZET ARBEIDSMIDDELEN</t>
  </si>
  <si>
    <t>Gemiddeld uurtarief excl. machinekosten excl. BTW</t>
  </si>
  <si>
    <t>Omschrijving blad</t>
  </si>
  <si>
    <t>Jaarkosten per locatie</t>
  </si>
  <si>
    <t>Naam opdrachtgever</t>
  </si>
  <si>
    <t>Adres/plaats</t>
  </si>
  <si>
    <t>Besteknummer</t>
  </si>
  <si>
    <t>Naam leverancier</t>
  </si>
  <si>
    <t>Prijspeil</t>
  </si>
  <si>
    <t>GEBOUW</t>
  </si>
  <si>
    <t>ADRES</t>
  </si>
  <si>
    <t>PLAATS</t>
  </si>
  <si>
    <t>VLOEROPPERVLAK IN ONDERHOUD</t>
  </si>
  <si>
    <t>VLOEROPPERVLAK NIET IN ONDERHOUD</t>
  </si>
  <si>
    <t>PERCEEL (I.V.T.)</t>
  </si>
  <si>
    <t>PRODUCTIE UREN REGULIER MA-VR</t>
  </si>
  <si>
    <t>PRODUCTIE UREN PERIODIEK</t>
  </si>
  <si>
    <t>AFRONDING TAAK UREN</t>
  </si>
  <si>
    <t>TOEZICHT UREN MA-VR</t>
  </si>
  <si>
    <t>TOTAAL M2 GLAS</t>
  </si>
  <si>
    <t>GEWOGEN GEMIDDELDE O.B.V. VLOEROPPERVLAK IN ONDERHOUD</t>
  </si>
  <si>
    <t>UREN PER DAG EXCL. PERIODIEK</t>
  </si>
  <si>
    <t>Professor Dumont</t>
  </si>
  <si>
    <t>Woudrichemstraat 2-4</t>
  </si>
  <si>
    <t>Amsterdam</t>
  </si>
  <si>
    <t>De Hasselbraam</t>
  </si>
  <si>
    <t>Karel Klinkenbergstraat 40</t>
  </si>
  <si>
    <t>De Wereldboom</t>
  </si>
  <si>
    <t>Peelstraat 171</t>
  </si>
  <si>
    <t>De Zeppelin</t>
  </si>
  <si>
    <t>Bessenpad 1</t>
  </si>
  <si>
    <t>De Driesprong</t>
  </si>
  <si>
    <t>Sloterweg 1192</t>
  </si>
  <si>
    <t>t</t>
  </si>
  <si>
    <t>ADDITIONLE KOSTEN</t>
  </si>
  <si>
    <t>INVESTERING MACHINEKOSTEN</t>
  </si>
  <si>
    <t>PRODUCTIEKOSTEN MA-VR</t>
  </si>
  <si>
    <t>TOEZICHTKOSTEN</t>
  </si>
  <si>
    <t>KOSTEN AFRONDING TAAK UREN</t>
  </si>
  <si>
    <t>TOTAAL SCHOONMAAK</t>
  </si>
  <si>
    <t xml:space="preserve">MUTATIE VOLGENS 1.3A </t>
  </si>
  <si>
    <t>VERREKJEND JA/NEE</t>
  </si>
  <si>
    <t>GLASBEWASSING</t>
  </si>
  <si>
    <t>KOSTEN TOTAAL PER JAAR</t>
  </si>
  <si>
    <t>Perceel 1 totalen</t>
  </si>
  <si>
    <t>Indexering</t>
  </si>
  <si>
    <t>invoerings datum</t>
  </si>
  <si>
    <t>percentage</t>
  </si>
  <si>
    <t>Kengetallenoverzicht schoonmaakonderhoud</t>
  </si>
  <si>
    <t>CALCULATIE-CODE MA-VR</t>
  </si>
  <si>
    <t>FREQ. NOTATIE</t>
  </si>
  <si>
    <t>RUIMTECATEGORIE</t>
  </si>
  <si>
    <t>FREQ. OMSCHRIJVING</t>
  </si>
  <si>
    <t>KENGETAL MA-VR</t>
  </si>
  <si>
    <t>KENGETAL PERIODIEK</t>
  </si>
  <si>
    <t>PRESTATIE NORM</t>
  </si>
  <si>
    <t>M2 VLOER IO</t>
  </si>
  <si>
    <t>M2 VLOER NIO</t>
  </si>
  <si>
    <t>VERHOUDING VLOEROPP.</t>
  </si>
  <si>
    <t>BIJZONDERHEDEN</t>
  </si>
  <si>
    <t>VSR CODE</t>
  </si>
  <si>
    <t>administratieve -, personeels- en vergaderruimte</t>
  </si>
  <si>
    <t>1 x per week - 40 weken</t>
  </si>
  <si>
    <t>V</t>
  </si>
  <si>
    <t>1 x per week - 52 weken</t>
  </si>
  <si>
    <t>2 x per week - 40 weken</t>
  </si>
  <si>
    <t>5 x per week - 40 weken</t>
  </si>
  <si>
    <t>5 x per week - 52 weken</t>
  </si>
  <si>
    <t>aula, gemeenschappelijke ruimte, bibliotheek</t>
  </si>
  <si>
    <t>entree, gang, hal, repro, kopieer, was/droogruimte</t>
  </si>
  <si>
    <t>sanitaire ruimte (toilet-/doucheruimte)</t>
  </si>
  <si>
    <t>S</t>
  </si>
  <si>
    <t>pantry/keuken</t>
  </si>
  <si>
    <t>praktijklokaal</t>
  </si>
  <si>
    <t>L</t>
  </si>
  <si>
    <t>leslokaal/bevo/handvaardigheid</t>
  </si>
  <si>
    <t>leslokaal/leerplein</t>
  </si>
  <si>
    <t>speellokaal</t>
  </si>
  <si>
    <t>trappenhuis</t>
  </si>
  <si>
    <t>lift</t>
  </si>
  <si>
    <t>peuterspeelzaal</t>
  </si>
  <si>
    <t>kinderverblijf ruimte</t>
  </si>
  <si>
    <t>kleedruimten</t>
  </si>
  <si>
    <t>gymzaal (berging)</t>
  </si>
  <si>
    <t>Sp</t>
  </si>
  <si>
    <t>gymzaal</t>
  </si>
  <si>
    <t>slaapkamer</t>
  </si>
  <si>
    <t>zwembad</t>
  </si>
  <si>
    <t>restaurant</t>
  </si>
  <si>
    <t>op afroep</t>
  </si>
  <si>
    <t>nvt</t>
  </si>
  <si>
    <t>niet van toepassing</t>
  </si>
  <si>
    <t>tijdlk nvt</t>
  </si>
  <si>
    <t>tijdelijk niet van toepassing</t>
  </si>
  <si>
    <t>vervallen</t>
  </si>
  <si>
    <t>vervallen (mutatie)</t>
  </si>
  <si>
    <t>Totaal</t>
  </si>
  <si>
    <t>Toelichting kengetallenoverzicht:</t>
  </si>
  <si>
    <t>Programmacode</t>
  </si>
  <si>
    <t>: unieke code die is gekoppeld aan een schoonmaakprogramma voor een bepaalde ruimtecategorie</t>
  </si>
  <si>
    <t>Frequentienotatie</t>
  </si>
  <si>
    <t>: cijfermatige notatie van het aantal keren dat een ruimte per jaar wordt schoongemaakt (zie onderstaande opgave)</t>
  </si>
  <si>
    <t>Ruimtecategorie</t>
  </si>
  <si>
    <t>: onderverdeling van de aanwezige ruimten in een object in een aantal categorieën</t>
  </si>
  <si>
    <t>Frequentie-omschr.</t>
  </si>
  <si>
    <t>: omschrijving van het aantal keren dat een ruimte per jaar wordt schoongemaakt (zie onderstaande opgave)</t>
  </si>
  <si>
    <t>Kengetal</t>
  </si>
  <si>
    <t xml:space="preserve">: uren per vierkante meter per jaar </t>
  </si>
  <si>
    <t>Prestatienorm</t>
  </si>
  <si>
    <t>: aantal schoon te maken m2 per uur</t>
  </si>
  <si>
    <t>m2 Vloer IO</t>
  </si>
  <si>
    <t>: aantal m2 in onderhoud</t>
  </si>
  <si>
    <t>m2 Vloer NIO</t>
  </si>
  <si>
    <t>: aantal m2 niet in onderhoud</t>
  </si>
  <si>
    <t>Verhouding vloeropp.</t>
  </si>
  <si>
    <t>: percentage vloeroppervlakte per ruimtecategorie t.o.v. totale vloeroppervlakte</t>
  </si>
  <si>
    <t>Bijzonde3rheden</t>
  </si>
  <si>
    <t>: Eventuele opmerkingen</t>
  </si>
  <si>
    <t>VSR-code</t>
  </si>
  <si>
    <t>: Afkortingen voor ruimtecategorieën bij toepassing van VSR-kwaliteitsmetingen V = verkeersruimten, S = Sanitaire ruimten, L = Leslokalen en Sp = Sport</t>
  </si>
  <si>
    <t>Basis Ruimte/- Calculatiestaat</t>
  </si>
  <si>
    <t>0.14</t>
  </si>
  <si>
    <t xml:space="preserve"> = ruimte gebruikt door dagopvang</t>
  </si>
  <si>
    <t>MUTATIE NUMMER</t>
  </si>
  <si>
    <t>MUTATIE DATUM</t>
  </si>
  <si>
    <t>PERCEEL</t>
  </si>
  <si>
    <t>LOCATTIE</t>
  </si>
  <si>
    <t>VERD.</t>
  </si>
  <si>
    <t>RUIMTENR</t>
  </si>
  <si>
    <t>RUIMTE OMSCHRIJVING (OPDRACHTGEVER)</t>
  </si>
  <si>
    <t>RUIMTE CATEGORIE</t>
  </si>
  <si>
    <t>VLOER SOORT</t>
  </si>
  <si>
    <t>PROGR. CODE REGULIER</t>
  </si>
  <si>
    <t>PROGR. CODE NALOOP</t>
  </si>
  <si>
    <t>FACTOR REGULIER</t>
  </si>
  <si>
    <t>FACTOR PERIODIEK</t>
  </si>
  <si>
    <t>UREN P/JR REGULIER</t>
  </si>
  <si>
    <t>UREN P/JR PERIODIEK</t>
  </si>
  <si>
    <t>UREN P/JR NALOOP</t>
  </si>
  <si>
    <t>KENGETAL REGULIER</t>
  </si>
  <si>
    <t>KENGETAL NALOOP</t>
  </si>
  <si>
    <t>€ SCHOONMAAK</t>
  </si>
  <si>
    <t>€ GLASBEWASSING</t>
  </si>
  <si>
    <t>-</t>
  </si>
  <si>
    <t>bgg</t>
  </si>
  <si>
    <t>0.01</t>
  </si>
  <si>
    <t>entree/hal</t>
  </si>
  <si>
    <t>steen (profiel)</t>
  </si>
  <si>
    <t>met coral mat</t>
  </si>
  <si>
    <t>0.02</t>
  </si>
  <si>
    <t>berging</t>
  </si>
  <si>
    <t>steen</t>
  </si>
  <si>
    <t>0.04</t>
  </si>
  <si>
    <t>gemeenschappelijke ruimte</t>
  </si>
  <si>
    <t>0.04a</t>
  </si>
  <si>
    <t>trap naar galerij</t>
  </si>
  <si>
    <t>beton</t>
  </si>
  <si>
    <t>traptreden hout</t>
  </si>
  <si>
    <t>0.04b</t>
  </si>
  <si>
    <t>0.05</t>
  </si>
  <si>
    <t>groepsruimte 1</t>
  </si>
  <si>
    <t>linoleum</t>
  </si>
  <si>
    <t>0.06</t>
  </si>
  <si>
    <t>toilet</t>
  </si>
  <si>
    <t>gietvloer</t>
  </si>
  <si>
    <t>0.07</t>
  </si>
  <si>
    <t>groepsruimte 2</t>
  </si>
  <si>
    <t>0.08</t>
  </si>
  <si>
    <t>groepsruimte 3</t>
  </si>
  <si>
    <t>0.09</t>
  </si>
  <si>
    <t>0.10</t>
  </si>
  <si>
    <t>leskeuken</t>
  </si>
  <si>
    <t>pvc</t>
  </si>
  <si>
    <t>0.11</t>
  </si>
  <si>
    <t>groepsruimte 5</t>
  </si>
  <si>
    <t>0.12</t>
  </si>
  <si>
    <t>0.13</t>
  </si>
  <si>
    <t>groepsruimte 6</t>
  </si>
  <si>
    <t>groepsruimte 7</t>
  </si>
  <si>
    <t>0.15</t>
  </si>
  <si>
    <t>0.16</t>
  </si>
  <si>
    <t>groepsruimte 8</t>
  </si>
  <si>
    <t>0.17</t>
  </si>
  <si>
    <t>groepsruimte 9</t>
  </si>
  <si>
    <t>0.18</t>
  </si>
  <si>
    <t>0.19</t>
  </si>
  <si>
    <t>handvaardigheid</t>
  </si>
  <si>
    <t>0.20</t>
  </si>
  <si>
    <t>toilet docent</t>
  </si>
  <si>
    <t>0.21</t>
  </si>
  <si>
    <t>werkkast</t>
  </si>
  <si>
    <t>0.22</t>
  </si>
  <si>
    <t>docenten douche</t>
  </si>
  <si>
    <t>0.23</t>
  </si>
  <si>
    <t>0.24</t>
  </si>
  <si>
    <t>kantoor</t>
  </si>
  <si>
    <t>tapijt</t>
  </si>
  <si>
    <t>0.25</t>
  </si>
  <si>
    <t>0.26</t>
  </si>
  <si>
    <t>kleedruimte</t>
  </si>
  <si>
    <t>0.26a</t>
  </si>
  <si>
    <t>douche ruimte</t>
  </si>
  <si>
    <t>0.26b</t>
  </si>
  <si>
    <t>0.27</t>
  </si>
  <si>
    <t>0.27a</t>
  </si>
  <si>
    <t>0.27b</t>
  </si>
  <si>
    <t>0.29</t>
  </si>
  <si>
    <t>sportvloer</t>
  </si>
  <si>
    <t>0.29a</t>
  </si>
  <si>
    <t>toestelberging</t>
  </si>
  <si>
    <t>0.30</t>
  </si>
  <si>
    <t>conciërge</t>
  </si>
  <si>
    <t>0.31</t>
  </si>
  <si>
    <t>technische ruimte</t>
  </si>
  <si>
    <t>0.32</t>
  </si>
  <si>
    <t>1e</t>
  </si>
  <si>
    <t>1.01</t>
  </si>
  <si>
    <t>1.02</t>
  </si>
  <si>
    <t>ib ruimte</t>
  </si>
  <si>
    <t>1.03</t>
  </si>
  <si>
    <t>hal</t>
  </si>
  <si>
    <t>1.04</t>
  </si>
  <si>
    <t>1.05</t>
  </si>
  <si>
    <t>gang</t>
  </si>
  <si>
    <t>1.06</t>
  </si>
  <si>
    <t>directeur</t>
  </si>
  <si>
    <t>1.07</t>
  </si>
  <si>
    <t>adj directeur</t>
  </si>
  <si>
    <t>1.08</t>
  </si>
  <si>
    <t>1.10</t>
  </si>
  <si>
    <t>groepsruimte 10</t>
  </si>
  <si>
    <t>1.11</t>
  </si>
  <si>
    <t>groepsruimte 11</t>
  </si>
  <si>
    <t>1.12</t>
  </si>
  <si>
    <t>1.13</t>
  </si>
  <si>
    <t>groepsruimte 12</t>
  </si>
  <si>
    <t>1.14</t>
  </si>
  <si>
    <t>1.15</t>
  </si>
  <si>
    <t>groepsruimte 13</t>
  </si>
  <si>
    <t>1.16</t>
  </si>
  <si>
    <t>groepsruimte 14</t>
  </si>
  <si>
    <t>1.17</t>
  </si>
  <si>
    <t>1.18</t>
  </si>
  <si>
    <t>groepsruimte 15</t>
  </si>
  <si>
    <t>1.19</t>
  </si>
  <si>
    <t>1.20</t>
  </si>
  <si>
    <t>1.21</t>
  </si>
  <si>
    <t>othotheek</t>
  </si>
  <si>
    <t>1.22</t>
  </si>
  <si>
    <t>1.23</t>
  </si>
  <si>
    <t>logopedie</t>
  </si>
  <si>
    <t>1.24</t>
  </si>
  <si>
    <t>1.25</t>
  </si>
  <si>
    <t>1.26</t>
  </si>
  <si>
    <t>galerij</t>
  </si>
  <si>
    <t>1.27</t>
  </si>
  <si>
    <t>server</t>
  </si>
  <si>
    <t>1.28</t>
  </si>
  <si>
    <t>artsenkamer</t>
  </si>
  <si>
    <t>1.70</t>
  </si>
  <si>
    <t>entree</t>
  </si>
  <si>
    <t>0.01a</t>
  </si>
  <si>
    <t>trap naar 1e</t>
  </si>
  <si>
    <t>kantoor-spreekkamer</t>
  </si>
  <si>
    <t>ruimte gesplitst</t>
  </si>
  <si>
    <t>spreekkamer</t>
  </si>
  <si>
    <t>garderobe</t>
  </si>
  <si>
    <t>splitsruimte/praktijk</t>
  </si>
  <si>
    <t>onderdeel van de hal</t>
  </si>
  <si>
    <t>mediatheek</t>
  </si>
  <si>
    <t>miva-toilet</t>
  </si>
  <si>
    <t>groepsruimte</t>
  </si>
  <si>
    <t>voorruimte</t>
  </si>
  <si>
    <t>0.28</t>
  </si>
  <si>
    <t>rt ruimte</t>
  </si>
  <si>
    <t>0.30a</t>
  </si>
  <si>
    <t>0.33</t>
  </si>
  <si>
    <t>0.34</t>
  </si>
  <si>
    <t>niet in gebruik</t>
  </si>
  <si>
    <t>0.35</t>
  </si>
  <si>
    <t>wasruimte</t>
  </si>
  <si>
    <t>0.36</t>
  </si>
  <si>
    <t>0.37</t>
  </si>
  <si>
    <t>0.38</t>
  </si>
  <si>
    <t>werkruimte</t>
  </si>
  <si>
    <t>0.39</t>
  </si>
  <si>
    <t>0.40</t>
  </si>
  <si>
    <t>keuken</t>
  </si>
  <si>
    <t>0.41</t>
  </si>
  <si>
    <t>0.42</t>
  </si>
  <si>
    <t>speelokaal</t>
  </si>
  <si>
    <t>0.43</t>
  </si>
  <si>
    <t>berging speelokaal</t>
  </si>
  <si>
    <t>0.44</t>
  </si>
  <si>
    <t>0.45</t>
  </si>
  <si>
    <t>0.46</t>
  </si>
  <si>
    <t>0.47</t>
  </si>
  <si>
    <t>0.48</t>
  </si>
  <si>
    <t>0.49</t>
  </si>
  <si>
    <t>0.50</t>
  </si>
  <si>
    <t>0.53</t>
  </si>
  <si>
    <t>buitenberging</t>
  </si>
  <si>
    <t>0.55</t>
  </si>
  <si>
    <t>containerruimte</t>
  </si>
  <si>
    <t>1.01a</t>
  </si>
  <si>
    <t>trap naar 2e</t>
  </si>
  <si>
    <t>personeelsruimte</t>
  </si>
  <si>
    <t>strook marmo bij keuken</t>
  </si>
  <si>
    <t>lift schacht</t>
  </si>
  <si>
    <t>1.09</t>
  </si>
  <si>
    <t>1.15a</t>
  </si>
  <si>
    <t>2e</t>
  </si>
  <si>
    <t>2.01</t>
  </si>
  <si>
    <t>2.01a</t>
  </si>
  <si>
    <t>trap naar 3e</t>
  </si>
  <si>
    <t>2.02</t>
  </si>
  <si>
    <t>2.03</t>
  </si>
  <si>
    <t>2.04</t>
  </si>
  <si>
    <t>2.05</t>
  </si>
  <si>
    <t>2.06</t>
  </si>
  <si>
    <t>2.07</t>
  </si>
  <si>
    <t>speltherapie</t>
  </si>
  <si>
    <t>2.08</t>
  </si>
  <si>
    <t>2.09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</si>
  <si>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</si>
  <si>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</si>
  <si>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</si>
  <si>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</si>
  <si>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</si>
  <si>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</si>
  <si>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</si>
  <si>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</si>
  <si>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</si>
  <si>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</si>
  <si>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</si>
  <si>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</si>
  <si>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</si>
  <si>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</si>
  <si>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</si>
  <si>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kast</t>
  </si>
  <si>
    <t>3e</t>
  </si>
  <si>
    <t>3.01</t>
  </si>
  <si>
    <t>3.03</t>
  </si>
  <si>
    <t>3.04</t>
  </si>
  <si>
    <t>3.01a</t>
  </si>
  <si>
    <t>trap naar 4e</t>
  </si>
  <si>
    <t>3.05</t>
  </si>
  <si>
    <t>3.06</t>
  </si>
  <si>
    <t>3.07</t>
  </si>
  <si>
    <t>3.08</t>
  </si>
  <si>
    <t>3.09</t>
  </si>
  <si>
    <t>3.10</t>
  </si>
  <si>
    <t>3.11</t>
  </si>
  <si>
    <t>4e</t>
  </si>
  <si>
    <t>4.01</t>
  </si>
  <si>
    <t>4.01a</t>
  </si>
  <si>
    <t>4.03</t>
  </si>
  <si>
    <t>4.04</t>
  </si>
  <si>
    <t>4.05</t>
  </si>
  <si>
    <t>kleedruimte meisjes</t>
  </si>
  <si>
    <t>4.05a</t>
  </si>
  <si>
    <t>douchee meisjes</t>
  </si>
  <si>
    <t>4.06</t>
  </si>
  <si>
    <t>4.07</t>
  </si>
  <si>
    <t>kleedruimte docent</t>
  </si>
  <si>
    <t>4.08</t>
  </si>
  <si>
    <t>kleedruimte jongens</t>
  </si>
  <si>
    <t>4.08a</t>
  </si>
  <si>
    <t>douche jongens</t>
  </si>
  <si>
    <t>4.09</t>
  </si>
  <si>
    <t>4.10</t>
  </si>
  <si>
    <t>4.11</t>
  </si>
  <si>
    <t>4.12</t>
  </si>
  <si>
    <t>4.13</t>
  </si>
  <si>
    <t>cv ruimte</t>
  </si>
  <si>
    <t>techniek</t>
  </si>
  <si>
    <t>0.03</t>
  </si>
  <si>
    <t>0.06a</t>
  </si>
  <si>
    <t>hout</t>
  </si>
  <si>
    <t>0.17a</t>
  </si>
  <si>
    <t>lokaal</t>
  </si>
  <si>
    <t>KDV ruimte</t>
  </si>
  <si>
    <t>toiletgroep</t>
  </si>
  <si>
    <t>slaapruimte</t>
  </si>
  <si>
    <t>aula</t>
  </si>
  <si>
    <t>trap hout/beton</t>
  </si>
  <si>
    <t>0.42a</t>
  </si>
  <si>
    <t>trap in aula</t>
  </si>
  <si>
    <t>0.42b</t>
  </si>
  <si>
    <t>0.51</t>
  </si>
  <si>
    <t>0.52</t>
  </si>
  <si>
    <t>0.54</t>
  </si>
  <si>
    <t>0.56</t>
  </si>
  <si>
    <t>0.57</t>
  </si>
  <si>
    <t>0.58</t>
  </si>
  <si>
    <t>vitrine</t>
  </si>
  <si>
    <t>0.59</t>
  </si>
  <si>
    <t>0.60</t>
  </si>
  <si>
    <t>0.60a</t>
  </si>
  <si>
    <t>0.61</t>
  </si>
  <si>
    <t>0.62</t>
  </si>
  <si>
    <t>0.63</t>
  </si>
  <si>
    <t>0.64</t>
  </si>
  <si>
    <t>0.65</t>
  </si>
  <si>
    <t>0.66</t>
  </si>
  <si>
    <t>0.67</t>
  </si>
  <si>
    <t>0.68</t>
  </si>
  <si>
    <t>overloop</t>
  </si>
  <si>
    <t>1.12a</t>
  </si>
  <si>
    <t>leerplein</t>
  </si>
  <si>
    <t>1.17a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</si>
  <si>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</si>
  <si>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</si>
  <si>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</si>
  <si>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</si>
  <si>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</si>
  <si>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</si>
  <si>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</si>
  <si>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</si>
  <si>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</si>
  <si>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</si>
  <si>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</si>
  <si>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</si>
  <si>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</si>
  <si>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</si>
  <si>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</si>
  <si>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</si>
  <si>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</si>
  <si>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</si>
  <si>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</si>
  <si>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</si>
  <si>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</si>
  <si>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</si>
  <si>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</si>
  <si>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1.51a</t>
  </si>
  <si>
    <t>1.52</t>
  </si>
  <si>
    <t>1.53</t>
  </si>
  <si>
    <t>1.54</t>
  </si>
  <si>
    <t>1.54a</t>
  </si>
  <si>
    <t>1.55</t>
  </si>
  <si>
    <t>1.56</t>
  </si>
  <si>
    <t>n.v.t. (niet van St. Kolom)</t>
  </si>
  <si>
    <t>1.57</t>
  </si>
  <si>
    <t>1.58</t>
  </si>
  <si>
    <t>1.59</t>
  </si>
  <si>
    <t>1.60</t>
  </si>
  <si>
    <t>1.61</t>
  </si>
  <si>
    <t>1.62</t>
  </si>
  <si>
    <t>techniek+berging</t>
  </si>
  <si>
    <t>2.10</t>
  </si>
  <si>
    <t>2.11</t>
  </si>
  <si>
    <t>ingangsportaal</t>
  </si>
  <si>
    <t>faxruimte</t>
  </si>
  <si>
    <t>berging / kluis</t>
  </si>
  <si>
    <t>meterkast gas</t>
  </si>
  <si>
    <t>meterkast elektra</t>
  </si>
  <si>
    <t>berging/container</t>
  </si>
  <si>
    <t>berging + groepenkast</t>
  </si>
  <si>
    <t>leslokaal</t>
  </si>
  <si>
    <t>werkkast+groepenkast</t>
  </si>
  <si>
    <t>keuken (leskeuken)</t>
  </si>
  <si>
    <t>was ruiumte</t>
  </si>
  <si>
    <t>backstage</t>
  </si>
  <si>
    <t>podium</t>
  </si>
  <si>
    <t>algemene ruimte</t>
  </si>
  <si>
    <t>therapie/onderzoek</t>
  </si>
  <si>
    <t>kelder</t>
  </si>
  <si>
    <t>-1.01</t>
  </si>
  <si>
    <t>-1.02</t>
  </si>
  <si>
    <t>installatie</t>
  </si>
  <si>
    <t>-1.03</t>
  </si>
  <si>
    <t>-1.04</t>
  </si>
  <si>
    <t>opslag</t>
  </si>
  <si>
    <t>marmoleum</t>
  </si>
  <si>
    <t>meterkast</t>
  </si>
  <si>
    <t>reproruimte</t>
  </si>
  <si>
    <t>serverruimte</t>
  </si>
  <si>
    <t>Premies en opslagen &amp; tarieven  voor schoonmaakonderhoud</t>
  </si>
  <si>
    <t>SCHOONMAAKMEDEWERKER</t>
  </si>
  <si>
    <t>TOEZICHTMEDEWERKER</t>
  </si>
  <si>
    <t>GLAZENWASSER</t>
  </si>
  <si>
    <t>Lngr 1 : Vakvolwassen</t>
  </si>
  <si>
    <t>Lngr 2 : Vakvolwassen</t>
  </si>
  <si>
    <t>Selecteer categorie medewerker</t>
  </si>
  <si>
    <t>Lngr 5 : Vakvolwassen</t>
  </si>
  <si>
    <t>Selecteer het aantal dienstjaren</t>
  </si>
  <si>
    <t>Selecteer tarief glazenwasser</t>
  </si>
  <si>
    <t>SOCIALE VERZEKERINGEN</t>
  </si>
  <si>
    <t>Project gemiddelde</t>
  </si>
  <si>
    <t>Awf-laag/Awf-hoog o.b.v. gemiddelde van de onderneming</t>
  </si>
  <si>
    <t>WGA sectorpremie</t>
  </si>
  <si>
    <t>Percentages</t>
  </si>
  <si>
    <t>ZW-flex</t>
  </si>
  <si>
    <t>+</t>
  </si>
  <si>
    <t>Specialisten toeslag (indien van toepassing)</t>
  </si>
  <si>
    <t>Totaal premie Whk</t>
  </si>
  <si>
    <t>BHV toeslag (indien van toepassing)</t>
  </si>
  <si>
    <t>(Reserve regel)</t>
  </si>
  <si>
    <t>Aof-premie</t>
  </si>
  <si>
    <t>Eénmalige uitkering</t>
  </si>
  <si>
    <t>Aof-hoog / Aof-laag (selecteer de cel hierboven voor keuze)</t>
  </si>
  <si>
    <t>Zorgverzekeringswet (Zvw)</t>
  </si>
  <si>
    <t>OP/NP pensioen</t>
  </si>
  <si>
    <t>Bruto uurloon</t>
  </si>
  <si>
    <t>Wet Arbeid in Balans (WAB)</t>
  </si>
  <si>
    <t xml:space="preserve"> </t>
  </si>
  <si>
    <t xml:space="preserve">Vakantietoeslag </t>
  </si>
  <si>
    <t>Kinderopvang</t>
  </si>
  <si>
    <t xml:space="preserve">RAS-heffing </t>
  </si>
  <si>
    <t>Bruto uurloon inclusief toeslagen</t>
  </si>
  <si>
    <t xml:space="preserve">Totaal premies sociale verzekeringen    </t>
  </si>
  <si>
    <t>SV-loon grondslag voor berekening sociale verzekeringen</t>
  </si>
  <si>
    <t>Premies Sociale Verzekeringen</t>
  </si>
  <si>
    <t>SOCIALE VERZEKERINGEN - OUDERDOMS PENSIOEN</t>
  </si>
  <si>
    <t>Subtotaal loonkosten per uur inclusief sociale verzekeringen</t>
  </si>
  <si>
    <t>werkgeversdeel</t>
  </si>
  <si>
    <t>SV uurloon inclusief toeslagen</t>
  </si>
  <si>
    <t>Opslag niet werkbare dagen</t>
  </si>
  <si>
    <t>Franchise OP-premie per uur</t>
  </si>
  <si>
    <t>Totaal loonkosten per uur</t>
  </si>
  <si>
    <t>Grondslag loon voor berekening OP premie</t>
  </si>
  <si>
    <t>Premie Ouderdomspensioen (OP)</t>
  </si>
  <si>
    <t>Materiaal/- en middelen</t>
  </si>
  <si>
    <t>Werkkleding en uitrusting</t>
  </si>
  <si>
    <t>Effectieve OP premie</t>
  </si>
  <si>
    <t>Totaal directe kosten</t>
  </si>
  <si>
    <t>Indirect toezicht</t>
  </si>
  <si>
    <t>BEREKENING WERKBARE DAGEN</t>
  </si>
  <si>
    <t>Managementkosten</t>
  </si>
  <si>
    <t>Aantallen</t>
  </si>
  <si>
    <t>P.Z. kosten</t>
  </si>
  <si>
    <t>Aantal kalenderdagen</t>
  </si>
  <si>
    <t>Opleiding</t>
  </si>
  <si>
    <t>Weekenddagen</t>
  </si>
  <si>
    <t>Administratiekosten</t>
  </si>
  <si>
    <t>Werkdagen per jaar</t>
  </si>
  <si>
    <t>Huisvestingskosten</t>
  </si>
  <si>
    <t>Autokosten</t>
  </si>
  <si>
    <t>Nat. feestdagen, kort verzuim, bijz. CAO</t>
  </si>
  <si>
    <t>Vakantiedagen</t>
  </si>
  <si>
    <t>Ziektedagen</t>
  </si>
  <si>
    <t>Totaal indirecte kosten</t>
  </si>
  <si>
    <t>Vorstverlet</t>
  </si>
  <si>
    <t>Werkbare dagen per jaar</t>
  </si>
  <si>
    <t>Risico en winst</t>
  </si>
  <si>
    <t>Nat. feestdagen, kort verzuim, bijz CAO</t>
  </si>
  <si>
    <t>Totaal eindtarief normale werktijden [06.00-21.30 uur]</t>
  </si>
  <si>
    <t>Kosten ziektedagen</t>
  </si>
  <si>
    <t>Totaal eindtarief weekenden [incl. 30% toeslag]</t>
  </si>
  <si>
    <t>Opslag niet werkbare dagen in procenten</t>
  </si>
  <si>
    <t>Totaal eindtarief weekenden [incl. 50% toeslag]</t>
  </si>
  <si>
    <t>Totaal eindtarief feestdagen [incl. 150% toeslag]</t>
  </si>
  <si>
    <t>SV GRONDSLAG</t>
  </si>
  <si>
    <t>TOTAAL SV GRONDSLAG</t>
  </si>
  <si>
    <t>GEMIDDELD SV-GRONDSLAG</t>
  </si>
  <si>
    <t>Selecteer omvang van uw organisatie</t>
  </si>
  <si>
    <t>Aof-kleine werkgever</t>
  </si>
  <si>
    <t>Aof-grotere werkgever</t>
  </si>
  <si>
    <t>Lngr 3 : Vakvolwassen</t>
  </si>
  <si>
    <t>Lngr 4 : Vakvolwassen</t>
  </si>
  <si>
    <t>Lngr 6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</si>
  <si>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</si>
  <si>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</si>
  <si>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</si>
  <si>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</si>
  <si>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</si>
  <si>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</si>
  <si>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</si>
  <si>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</si>
  <si>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</si>
  <si>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</si>
  <si>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</si>
  <si>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</si>
  <si>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</si>
  <si>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</si>
  <si>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</si>
  <si>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</si>
  <si>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</si>
  <si>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</si>
  <si>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Lngr 1 : 20 jaar</t>
  </si>
  <si>
    <t>Lngr 2 : 20 jaar</t>
  </si>
  <si>
    <t>Lngr 3 : 20 jaar</t>
  </si>
  <si>
    <t>Lngr 4 : 20 jaar</t>
  </si>
  <si>
    <t>Lngr 5 : 20 jaar</t>
  </si>
  <si>
    <t>Lngr 6 : 20 jaar</t>
  </si>
  <si>
    <t>Lngr 1 : 21 jaar</t>
  </si>
  <si>
    <t>Lngr 2 : 21 jaar</t>
  </si>
  <si>
    <t>Lngr 3 : 21 jaar</t>
  </si>
  <si>
    <t>Lngr 4 : 21 jaar</t>
  </si>
  <si>
    <t>Lngr 5 : 21 jaar</t>
  </si>
  <si>
    <t>Lngr 6 : 21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</si>
</sst>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&quot;ƒ&quot;* #,##0.00_);_(&quot;ƒ&quot;* \(#,##0.00\);_(&quot;ƒ&quot;* &quot;-&quot;??_);_(@_)"/>
    <numFmt numFmtId="168" formatCode="_-* #,##0.00_-;\-* #,##0.00_-;_-* &quot;-&quot;??_-;_-@_-"/>
    <numFmt numFmtId="169" formatCode="&quot;Fl.&quot;#,##0;\-&quot;Fl.&quot;#,##0"/>
    <numFmt numFmtId="170" formatCode="&quot;Fl.&quot;#,##0;[Red]\-&quot;Fl.&quot;#,##0"/>
    <numFmt numFmtId="171" formatCode="0_)"/>
    <numFmt numFmtId="172" formatCode="General_)"/>
    <numFmt numFmtId="173" formatCode="0.00_)"/>
    <numFmt numFmtId="174" formatCode="0.000"/>
    <numFmt numFmtId="175" formatCode="_-* #,##0_-;_-* #,##0\-;_-* &quot;-&quot;??_-;_-@_-"/>
    <numFmt numFmtId="176" formatCode="00,000"/>
    <numFmt numFmtId="177" formatCode="0.0%"/>
    <numFmt numFmtId="178" formatCode="0.0"/>
    <numFmt numFmtId="179" formatCode="#,##0.0"/>
    <numFmt numFmtId="180" formatCode="_-* #,##0.000_-;_-* #,##0.000\-;_-* &quot;-&quot;??_-;_-@_-"/>
    <numFmt numFmtId="181" formatCode="0.000%"/>
    <numFmt numFmtId="182" formatCode="_-[$€-2]\ * #,##0.00_ ;_-[$€-2]\ * \-#,##0.00\ ;_-[$€-2]\ * &quot;-&quot;??_ ;_-@_ "/>
    <numFmt numFmtId="183" formatCode="_([$€-2]\ * #,##0.00_);_([$€-2]\ * \(#,##0.00\);_([$€-2]\ * &quot;-&quot;??_);_(@_)"/>
    <numFmt numFmtId="184" formatCode="#,000"/>
    <numFmt numFmtId="185" formatCode="_-[$€-2]\ * #,##0.00_-;_-[$€-2]\ * #,##0.00\-;_-[$€-2]\ * &quot;-&quot;??_-;_-@_-"/>
    <numFmt numFmtId="186" formatCode="[$-413]d\-mmm\-yy;@"/>
    <numFmt numFmtId="187" formatCode="_-[$€-413]\ * #,##0.00_-;_-[$€-413]\ * #,##0.00\-;_-[$€-413]\ * &quot;-&quot;??_-;_-@_-"/>
    <numFmt numFmtId="188" formatCode="[$-413]d/mmm/yy;@"/>
    <numFmt numFmtId="189" formatCode="dd/mmmm/yyyy"/>
    <numFmt numFmtId="190" formatCode="[$-413]dd/mmm/yy;@"/>
    <numFmt numFmtId="191" formatCode="&quot;fl&quot;\ #,##0_-;[Red]&quot;fl&quot;\ #,##0\-"/>
    <numFmt numFmtId="192" formatCode="_-[$€]\ * #,##0.00_-;_-[$€]\ * #,##0.00\-;_-[$€]\ * &quot;-&quot;??_-;_-@_-"/>
    <numFmt numFmtId="193" formatCode="_([$€]\ * #,##0.00_);_([$€]\ * \(#,##0.00\);_([$€]\ * &quot;-&quot;??_);_(@_)"/>
    <numFmt numFmtId="194" formatCode="_-&quot;fl&quot;\ * #,##0.00_-;_-&quot;fl&quot;\ * #,##0.00\-;_-&quot;fl&quot;\ * &quot;-&quot;??_-;_-@_-"/>
    <numFmt numFmtId="195" formatCode="_ [$€-413]\ * #,##0.00_ ;_ [$€-413]\ * \-#,##0.00_ ;_ [$€-413]\ * &quot;-&quot;??_ ;_ @_ "/>
    <numFmt numFmtId="196" formatCode="00"/>
    <numFmt numFmtId="197" formatCode="yyyy/mm/dd;@"/>
    <numFmt numFmtId="198" formatCode="00.00"/>
  </numFmts>
  <fonts count="127">
    <font>
      <sz val="10"/>
      <name val="MS Sans Serif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10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sz val="12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Verdana"/>
      <family val="2"/>
    </font>
    <font>
      <sz val="10"/>
      <color theme="0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sz val="10"/>
      <color theme="2" tint="0.79998168889431442"/>
      <name val="Verdana"/>
      <family val="2"/>
    </font>
    <font>
      <sz val="10"/>
      <color indexed="63"/>
      <name val="Avenir Book"/>
      <family val="2"/>
    </font>
    <font>
      <b/>
      <sz val="10"/>
      <color indexed="63"/>
      <name val="Avenir Book"/>
      <family val="2"/>
    </font>
    <font>
      <sz val="10"/>
      <color indexed="10"/>
      <name val="Avenir Book"/>
      <family val="2"/>
    </font>
    <font>
      <sz val="12"/>
      <color indexed="63"/>
      <name val="Avenir Book"/>
      <family val="2"/>
    </font>
    <font>
      <b/>
      <sz val="12"/>
      <name val="Avenir Book"/>
      <family val="2"/>
    </font>
    <font>
      <b/>
      <sz val="12"/>
      <color indexed="63"/>
      <name val="Avenir Book"/>
      <family val="2"/>
    </font>
    <font>
      <sz val="12"/>
      <color indexed="10"/>
      <name val="Avenir Book"/>
      <family val="2"/>
    </font>
    <font>
      <sz val="12"/>
      <name val="Avenir Book"/>
      <family val="2"/>
    </font>
    <font>
      <b/>
      <sz val="22"/>
      <color rgb="FFFF0000"/>
      <name val="Avenir Book"/>
      <family val="2"/>
    </font>
    <font>
      <sz val="12"/>
      <color theme="1"/>
      <name val="Avenir Book"/>
      <family val="2"/>
    </font>
    <font>
      <sz val="10"/>
      <name val="Avenir Book"/>
      <family val="2"/>
    </font>
    <font>
      <b/>
      <sz val="12"/>
      <color theme="1" tint="4.9989318521683403E-2"/>
      <name val="Avenir Book"/>
      <family val="2"/>
    </font>
    <font>
      <sz val="12"/>
      <color theme="1" tint="4.9989318521683403E-2"/>
      <name val="Avenir Book"/>
      <family val="2"/>
    </font>
    <font>
      <b/>
      <sz val="10"/>
      <color indexed="10"/>
      <name val="Avenir Book"/>
      <family val="2"/>
    </font>
    <font>
      <b/>
      <sz val="10"/>
      <color theme="1" tint="4.9989318521683403E-2"/>
      <name val="Avenir Book"/>
      <family val="2"/>
    </font>
    <font>
      <sz val="10"/>
      <color theme="0"/>
      <name val="Avenir Book"/>
      <family val="2"/>
    </font>
    <font>
      <b/>
      <i/>
      <sz val="10"/>
      <color rgb="FFFF0000"/>
      <name val="Avenir Book"/>
      <family val="2"/>
    </font>
    <font>
      <sz val="10"/>
      <color theme="1" tint="4.9989318521683403E-2"/>
      <name val="Avenir Book"/>
      <family val="2"/>
    </font>
    <font>
      <b/>
      <sz val="12"/>
      <name val="Avenir Heavy"/>
      <family val="2"/>
    </font>
    <font>
      <b/>
      <sz val="12"/>
      <color theme="1"/>
      <name val="Avenir Heavy"/>
      <family val="2"/>
    </font>
    <font>
      <b/>
      <sz val="10"/>
      <color indexed="63"/>
      <name val="Avenir Heavy"/>
      <family val="2"/>
    </font>
    <font>
      <b/>
      <sz val="12"/>
      <color theme="1" tint="4.9989318521683403E-2"/>
      <name val="Avenir Heavy"/>
      <family val="2"/>
    </font>
    <font>
      <b/>
      <sz val="10"/>
      <color theme="1" tint="4.9989318521683403E-2"/>
      <name val="Avenir Heavy"/>
      <family val="2"/>
    </font>
    <font>
      <b/>
      <sz val="10"/>
      <color theme="0"/>
      <name val="Avenir Heavy"/>
      <family val="2"/>
    </font>
    <font>
      <b/>
      <sz val="10"/>
      <name val="Avenir Book"/>
      <family val="2"/>
    </font>
    <font>
      <b/>
      <sz val="10"/>
      <color theme="0"/>
      <name val="Avenir Book"/>
      <family val="2"/>
    </font>
    <font>
      <sz val="10"/>
      <color indexed="63"/>
      <name val="Avenir Heavy"/>
      <family val="2"/>
    </font>
    <font>
      <b/>
      <sz val="10"/>
      <name val="Avenir Heavy"/>
      <family val="2"/>
    </font>
    <font>
      <i/>
      <sz val="10"/>
      <color indexed="63"/>
      <name val="Avenir Book"/>
      <family val="2"/>
    </font>
    <font>
      <b/>
      <sz val="12"/>
      <color indexed="10"/>
      <name val="Avenir Book"/>
      <family val="2"/>
    </font>
    <font>
      <b/>
      <sz val="10"/>
      <color theme="2" tint="0.79998168889431442"/>
      <name val="Avenir Book"/>
      <family val="2"/>
    </font>
    <font>
      <sz val="10"/>
      <color rgb="FFFF0000"/>
      <name val="Avenir Book"/>
      <family val="2"/>
    </font>
    <font>
      <sz val="10"/>
      <color theme="1"/>
      <name val="Avenir Book"/>
      <family val="2"/>
    </font>
    <font>
      <sz val="10"/>
      <color theme="2" tint="0.79998168889431442"/>
      <name val="Avenir Book"/>
      <family val="2"/>
    </font>
    <font>
      <b/>
      <sz val="10"/>
      <color theme="1"/>
      <name val="Avenir Book"/>
      <family val="2"/>
    </font>
    <font>
      <sz val="10"/>
      <color theme="2"/>
      <name val="Avenir Book"/>
      <family val="2"/>
    </font>
    <font>
      <sz val="10"/>
      <color theme="0" tint="-0.499984740745262"/>
      <name val="Avenir Book"/>
      <family val="2"/>
    </font>
    <font>
      <b/>
      <sz val="9"/>
      <name val="Avenir Book"/>
      <family val="2"/>
    </font>
    <font>
      <sz val="11"/>
      <name val="Avenir Book"/>
      <family val="2"/>
    </font>
    <font>
      <b/>
      <i/>
      <sz val="10"/>
      <color theme="1" tint="4.9989318521683403E-2"/>
      <name val="Avenir Book"/>
      <family val="2"/>
    </font>
    <font>
      <b/>
      <sz val="12"/>
      <color indexed="63"/>
      <name val="Avenir Heavy"/>
      <family val="2"/>
    </font>
    <font>
      <sz val="10"/>
      <name val="Avenir Heavy"/>
      <family val="2"/>
    </font>
    <font>
      <sz val="10"/>
      <color theme="0"/>
      <name val="Avenir Heavy"/>
      <family val="2"/>
    </font>
    <font>
      <b/>
      <sz val="10"/>
      <color theme="2" tint="0.79998168889431442"/>
      <name val="Avenir Heavy"/>
      <family val="2"/>
    </font>
    <font>
      <sz val="10"/>
      <color indexed="9"/>
      <name val="Avenir Book"/>
      <family val="2"/>
    </font>
    <font>
      <sz val="12"/>
      <color indexed="63"/>
      <name val="Avenir Heavy"/>
      <family val="2"/>
    </font>
    <font>
      <b/>
      <sz val="10"/>
      <color rgb="FFFF0000"/>
      <name val="Avenir Book"/>
      <family val="2"/>
    </font>
    <font>
      <i/>
      <sz val="12"/>
      <color indexed="63"/>
      <name val="Avenir Book"/>
      <family val="2"/>
    </font>
    <font>
      <i/>
      <sz val="10"/>
      <color theme="1"/>
      <name val="Avenir Book"/>
      <family val="2"/>
    </font>
    <font>
      <sz val="9"/>
      <name val="Avenir Book"/>
      <family val="2"/>
    </font>
    <font>
      <sz val="11"/>
      <color theme="1"/>
      <name val="Avenir Book"/>
      <family val="2"/>
    </font>
    <font>
      <b/>
      <sz val="14"/>
      <name val="Avenir Book"/>
      <family val="2"/>
    </font>
    <font>
      <sz val="10"/>
      <color theme="2" tint="-0.499984740745262"/>
      <name val="Avenir Book"/>
      <family val="2"/>
    </font>
    <font>
      <sz val="9"/>
      <color theme="2" tint="-0.499984740745262"/>
      <name val="Avenir Book"/>
      <family val="2"/>
    </font>
    <font>
      <sz val="6"/>
      <color theme="0"/>
      <name val="Avenir Book"/>
      <family val="2"/>
    </font>
    <font>
      <b/>
      <i/>
      <sz val="10"/>
      <name val="Avenir Book"/>
      <family val="2"/>
    </font>
    <font>
      <b/>
      <i/>
      <sz val="10"/>
      <color indexed="63"/>
      <name val="Avenir Book"/>
      <family val="2"/>
    </font>
    <font>
      <b/>
      <i/>
      <sz val="9"/>
      <name val="Avenir Book"/>
      <family val="2"/>
    </font>
    <font>
      <i/>
      <sz val="9"/>
      <name val="Avenir Book"/>
      <family val="2"/>
    </font>
    <font>
      <sz val="9"/>
      <color theme="0"/>
      <name val="Avenir Book"/>
      <family val="2"/>
    </font>
    <font>
      <b/>
      <sz val="14"/>
      <color rgb="FF455266"/>
      <name val="Avenir Book"/>
      <family val="2"/>
    </font>
    <font>
      <sz val="10"/>
      <color indexed="63"/>
      <name val="Avenir Heavy Oblique"/>
    </font>
    <font>
      <b/>
      <sz val="9"/>
      <color theme="0"/>
      <name val="Avenir Book"/>
      <family val="2"/>
    </font>
    <font>
      <b/>
      <sz val="10"/>
      <color theme="1"/>
      <name val="Avenir Heavy"/>
      <family val="2"/>
    </font>
    <font>
      <sz val="10"/>
      <color theme="1"/>
      <name val="Avenir Heavy"/>
      <family val="2"/>
    </font>
    <font>
      <b/>
      <i/>
      <sz val="10"/>
      <color theme="0"/>
      <name val="Avenir Book"/>
      <family val="2"/>
    </font>
    <font>
      <sz val="12"/>
      <name val="Avenir Black"/>
      <family val="2"/>
    </font>
    <font>
      <b/>
      <sz val="10"/>
      <color rgb="FFFCFDF9"/>
      <name val="Avenir Book"/>
      <family val="2"/>
    </font>
    <font>
      <sz val="10"/>
      <color rgb="FFFCFDF9"/>
      <name val="Avenir Book"/>
      <family val="2"/>
    </font>
    <font>
      <sz val="16"/>
      <name val="Avenir Book"/>
      <family val="2"/>
    </font>
    <font>
      <b/>
      <sz val="22"/>
      <name val="Avenir Black"/>
      <family val="2"/>
    </font>
    <font>
      <sz val="22"/>
      <name val="Avenir Black"/>
      <family val="2"/>
    </font>
    <font>
      <b/>
      <sz val="20"/>
      <name val="Avenir Book"/>
      <family val="2"/>
    </font>
    <font>
      <sz val="20"/>
      <name val="Avenir Book"/>
      <family val="2"/>
    </font>
    <font>
      <b/>
      <sz val="20"/>
      <color rgb="FF000000"/>
      <name val="Avenir Book"/>
      <family val="2"/>
    </font>
  </fonts>
  <fills count="4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55266"/>
        <bgColor indexed="64"/>
      </patternFill>
    </fill>
    <fill>
      <patternFill patternType="solid">
        <fgColor rgb="FFC4BA4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FDF9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medium">
        <color rgb="FF4552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55266"/>
      </left>
      <right style="thin">
        <color rgb="FF455266"/>
      </right>
      <top style="thin">
        <color rgb="FF455266"/>
      </top>
      <bottom style="thin">
        <color rgb="FF455266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rgb="FF455266"/>
      </diagonal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27">
    <xf numFmtId="0" fontId="0" fillId="0" borderId="0"/>
    <xf numFmtId="0" fontId="15" fillId="3" borderId="1" applyNumberFormat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10" fillId="0" borderId="0"/>
    <xf numFmtId="0" fontId="16" fillId="0" borderId="2" applyNumberFormat="0" applyFill="0" applyAlignment="0" applyProtection="0"/>
    <xf numFmtId="0" fontId="17" fillId="2" borderId="0" applyNumberFormat="0" applyBorder="0" applyAlignment="0" applyProtection="0"/>
    <xf numFmtId="166" fontId="3" fillId="0" borderId="0" applyFont="0" applyFill="0" applyBorder="0" applyAlignment="0" applyProtection="0"/>
    <xf numFmtId="0" fontId="18" fillId="6" borderId="0"/>
    <xf numFmtId="166" fontId="19" fillId="0" borderId="0">
      <alignment horizontal="center" vertical="center" textRotation="90" wrapText="1"/>
    </xf>
    <xf numFmtId="0" fontId="20" fillId="5" borderId="3"/>
    <xf numFmtId="169" fontId="10" fillId="0" borderId="0"/>
    <xf numFmtId="0" fontId="21" fillId="4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7" fillId="0" borderId="0"/>
    <xf numFmtId="9" fontId="3" fillId="0" borderId="0" applyFont="0" applyFill="0" applyBorder="0" applyAlignment="0" applyProtection="0"/>
    <xf numFmtId="0" fontId="20" fillId="7" borderId="4" applyNumberFormat="0" applyFont="0" applyBorder="0">
      <alignment horizontal="center"/>
    </xf>
    <xf numFmtId="0" fontId="4" fillId="0" borderId="0"/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7" borderId="0" applyNumberFormat="0" applyBorder="0" applyAlignment="0" applyProtection="0"/>
    <xf numFmtId="0" fontId="32" fillId="12" borderId="0" applyNumberFormat="0" applyBorder="0" applyAlignment="0" applyProtection="0"/>
    <xf numFmtId="0" fontId="15" fillId="3" borderId="1" applyNumberFormat="0" applyAlignment="0" applyProtection="0"/>
    <xf numFmtId="0" fontId="15" fillId="28" borderId="1" applyNumberFormat="0" applyAlignment="0" applyProtection="0"/>
    <xf numFmtId="0" fontId="33" fillId="29" borderId="17" applyNumberFormat="0" applyAlignment="0" applyProtection="0"/>
    <xf numFmtId="38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3" fillId="29" borderId="17" applyNumberFormat="0" applyAlignment="0" applyProtection="0"/>
    <xf numFmtId="191" fontId="34" fillId="0" borderId="0" applyFont="0" applyFill="0" applyBorder="0" applyAlignment="0" applyProtection="0"/>
    <xf numFmtId="165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6" fillId="0" borderId="2" applyNumberFormat="0" applyFill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4" borderId="1" applyNumberFormat="0" applyAlignment="0" applyProtection="0"/>
    <xf numFmtId="0" fontId="41" fillId="15" borderId="1" applyNumberFormat="0" applyAlignment="0" applyProtection="0"/>
    <xf numFmtId="166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42" fillId="0" borderId="21" applyNumberFormat="0" applyFill="0" applyAlignment="0" applyProtection="0"/>
    <xf numFmtId="0" fontId="43" fillId="0" borderId="19" applyNumberFormat="0" applyFill="0" applyAlignment="0" applyProtection="0"/>
    <xf numFmtId="0" fontId="44" fillId="0" borderId="22" applyNumberFormat="0" applyFill="0" applyAlignment="0" applyProtection="0"/>
    <xf numFmtId="0" fontId="44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3" fillId="30" borderId="23" applyNumberFormat="0" applyFont="0" applyAlignment="0" applyProtection="0"/>
    <xf numFmtId="0" fontId="6" fillId="30" borderId="23" applyNumberFormat="0" applyFont="0" applyAlignment="0" applyProtection="0"/>
    <xf numFmtId="0" fontId="32" fillId="12" borderId="0" applyNumberFormat="0" applyBorder="0" applyAlignment="0" applyProtection="0"/>
    <xf numFmtId="0" fontId="45" fillId="28" borderId="24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3" fillId="0" borderId="25" applyNumberFormat="0" applyFill="0" applyAlignment="0" applyProtection="0"/>
    <xf numFmtId="0" fontId="45" fillId="3" borderId="24" applyNumberFormat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3" fillId="0" borderId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44" fontId="50" fillId="0" borderId="0" applyFont="0" applyFill="0" applyBorder="0" applyAlignment="0" applyProtection="0"/>
  </cellStyleXfs>
  <cellXfs count="567">
    <xf numFmtId="0" fontId="0" fillId="0" borderId="0" xfId="0"/>
    <xf numFmtId="0" fontId="12" fillId="0" borderId="0" xfId="17" applyFont="1" applyAlignment="1">
      <alignment vertical="center"/>
    </xf>
    <xf numFmtId="182" fontId="12" fillId="0" borderId="0" xfId="17" applyNumberFormat="1" applyFont="1" applyAlignment="1">
      <alignment vertical="center"/>
    </xf>
    <xf numFmtId="164" fontId="12" fillId="0" borderId="0" xfId="17" applyNumberFormat="1" applyFont="1" applyAlignment="1">
      <alignment vertical="center"/>
    </xf>
    <xf numFmtId="0" fontId="26" fillId="0" borderId="0" xfId="17" applyFont="1" applyAlignment="1">
      <alignment vertical="center"/>
    </xf>
    <xf numFmtId="0" fontId="11" fillId="0" borderId="0" xfId="17" applyFont="1" applyAlignment="1">
      <alignment vertical="center" wrapText="1"/>
    </xf>
    <xf numFmtId="0" fontId="10" fillId="0" borderId="9" xfId="0" applyFont="1" applyBorder="1"/>
    <xf numFmtId="0" fontId="10" fillId="0" borderId="10" xfId="0" applyFont="1" applyBorder="1"/>
    <xf numFmtId="0" fontId="25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3" fillId="0" borderId="0" xfId="17" applyFont="1" applyAlignment="1">
      <alignment vertical="center"/>
    </xf>
    <xf numFmtId="49" fontId="12" fillId="0" borderId="0" xfId="15" applyNumberFormat="1" applyFont="1" applyAlignment="1" applyProtection="1">
      <alignment horizontal="left" vertical="center"/>
      <protection hidden="1"/>
    </xf>
    <xf numFmtId="0" fontId="26" fillId="0" borderId="7" xfId="17" applyFont="1" applyBorder="1" applyAlignment="1">
      <alignment vertical="center"/>
    </xf>
    <xf numFmtId="185" fontId="11" fillId="8" borderId="0" xfId="17" applyNumberFormat="1" applyFont="1" applyFill="1" applyAlignment="1">
      <alignment vertical="center"/>
    </xf>
    <xf numFmtId="164" fontId="12" fillId="0" borderId="0" xfId="2" applyFont="1" applyFill="1" applyAlignment="1">
      <alignment vertical="center"/>
    </xf>
    <xf numFmtId="185" fontId="12" fillId="0" borderId="0" xfId="17" applyNumberFormat="1" applyFont="1" applyAlignment="1">
      <alignment vertical="center"/>
    </xf>
    <xf numFmtId="0" fontId="51" fillId="0" borderId="0" xfId="0" applyFont="1" applyAlignment="1">
      <alignment horizontal="left" vertical="center"/>
    </xf>
    <xf numFmtId="0" fontId="52" fillId="0" borderId="0" xfId="17" applyFont="1" applyAlignment="1">
      <alignment vertical="center"/>
    </xf>
    <xf numFmtId="49" fontId="52" fillId="0" borderId="0" xfId="15" applyNumberFormat="1" applyFont="1" applyAlignment="1" applyProtection="1">
      <alignment horizontal="left" vertical="center"/>
      <protection hidden="1"/>
    </xf>
    <xf numFmtId="0" fontId="53" fillId="0" borderId="0" xfId="17" applyFont="1" applyAlignment="1">
      <alignment vertical="center"/>
    </xf>
    <xf numFmtId="0" fontId="54" fillId="0" borderId="0" xfId="17" applyFont="1" applyAlignment="1">
      <alignment vertical="center"/>
    </xf>
    <xf numFmtId="0" fontId="55" fillId="0" borderId="0" xfId="17" applyFont="1" applyAlignment="1">
      <alignment vertical="center"/>
    </xf>
    <xf numFmtId="2" fontId="55" fillId="0" borderId="0" xfId="17" applyNumberFormat="1" applyFont="1" applyAlignment="1">
      <alignment vertical="center"/>
    </xf>
    <xf numFmtId="2" fontId="57" fillId="0" borderId="0" xfId="17" applyNumberFormat="1" applyFont="1" applyAlignment="1">
      <alignment vertical="center"/>
    </xf>
    <xf numFmtId="0" fontId="58" fillId="0" borderId="0" xfId="17" applyFont="1" applyAlignment="1">
      <alignment vertical="center"/>
    </xf>
    <xf numFmtId="2" fontId="59" fillId="0" borderId="0" xfId="17" applyNumberFormat="1" applyFont="1" applyAlignment="1">
      <alignment vertical="center"/>
    </xf>
    <xf numFmtId="0" fontId="60" fillId="0" borderId="0" xfId="0" applyFont="1" applyAlignment="1">
      <alignment vertical="center"/>
    </xf>
    <xf numFmtId="1" fontId="61" fillId="0" borderId="0" xfId="17" applyNumberFormat="1" applyFont="1" applyAlignment="1">
      <alignment horizontal="left" vertical="center"/>
    </xf>
    <xf numFmtId="188" fontId="59" fillId="0" borderId="0" xfId="17" applyNumberFormat="1" applyFont="1" applyAlignment="1">
      <alignment horizontal="left" vertical="center"/>
    </xf>
    <xf numFmtId="2" fontId="52" fillId="9" borderId="6" xfId="22" applyNumberFormat="1" applyFont="1" applyFill="1" applyBorder="1" applyAlignment="1" applyProtection="1">
      <alignment horizontal="center" vertical="center"/>
      <protection hidden="1"/>
    </xf>
    <xf numFmtId="0" fontId="62" fillId="0" borderId="0" xfId="0" applyFont="1" applyAlignment="1">
      <alignment vertical="center"/>
    </xf>
    <xf numFmtId="2" fontId="52" fillId="9" borderId="6" xfId="2512" applyNumberFormat="1" applyFont="1" applyFill="1" applyBorder="1" applyAlignment="1" applyProtection="1">
      <alignment horizontal="center" vertical="center"/>
      <protection hidden="1"/>
    </xf>
    <xf numFmtId="15" fontId="59" fillId="0" borderId="0" xfId="17" applyNumberFormat="1" applyFont="1" applyAlignment="1">
      <alignment horizontal="left" vertical="center"/>
    </xf>
    <xf numFmtId="49" fontId="57" fillId="0" borderId="0" xfId="17" applyNumberFormat="1" applyFont="1" applyAlignment="1">
      <alignment vertical="center"/>
    </xf>
    <xf numFmtId="0" fontId="63" fillId="0" borderId="0" xfId="17" applyFont="1" applyAlignment="1">
      <alignment vertical="center"/>
    </xf>
    <xf numFmtId="0" fontId="64" fillId="0" borderId="0" xfId="17" applyFont="1" applyAlignment="1">
      <alignment vertical="center"/>
    </xf>
    <xf numFmtId="49" fontId="52" fillId="0" borderId="0" xfId="17" applyNumberFormat="1" applyFont="1" applyAlignment="1">
      <alignment vertical="center"/>
    </xf>
    <xf numFmtId="0" fontId="53" fillId="0" borderId="0" xfId="17" applyFont="1" applyAlignment="1">
      <alignment vertical="center" wrapText="1"/>
    </xf>
    <xf numFmtId="0" fontId="65" fillId="0" borderId="0" xfId="17" applyFont="1" applyAlignment="1">
      <alignment vertical="center" wrapText="1"/>
    </xf>
    <xf numFmtId="0" fontId="53" fillId="0" borderId="0" xfId="15" applyFont="1" applyAlignment="1" applyProtection="1">
      <alignment horizontal="left" vertical="center"/>
      <protection hidden="1"/>
    </xf>
    <xf numFmtId="175" fontId="52" fillId="0" borderId="0" xfId="15" applyNumberFormat="1" applyFont="1" applyAlignment="1" applyProtection="1">
      <alignment horizontal="left" vertical="center"/>
      <protection hidden="1"/>
    </xf>
    <xf numFmtId="182" fontId="52" fillId="0" borderId="0" xfId="17" applyNumberFormat="1" applyFont="1" applyAlignment="1">
      <alignment horizontal="right" vertical="center"/>
    </xf>
    <xf numFmtId="2" fontId="52" fillId="0" borderId="0" xfId="2" applyNumberFormat="1" applyFont="1" applyFill="1" applyAlignment="1">
      <alignment horizontal="center" vertical="center"/>
    </xf>
    <xf numFmtId="1" fontId="52" fillId="0" borderId="0" xfId="2" applyNumberFormat="1" applyFont="1" applyFill="1" applyAlignment="1">
      <alignment horizontal="center" vertical="center"/>
    </xf>
    <xf numFmtId="4" fontId="52" fillId="0" borderId="0" xfId="2" applyNumberFormat="1" applyFont="1" applyFill="1" applyAlignment="1">
      <alignment horizontal="center" vertical="center"/>
    </xf>
    <xf numFmtId="182" fontId="52" fillId="0" borderId="0" xfId="5" applyNumberFormat="1" applyFont="1" applyFill="1" applyAlignment="1">
      <alignment vertical="center"/>
    </xf>
    <xf numFmtId="187" fontId="52" fillId="0" borderId="0" xfId="3" applyNumberFormat="1" applyFont="1" applyFill="1" applyBorder="1" applyAlignment="1" applyProtection="1">
      <alignment horizontal="center" vertical="center"/>
      <protection hidden="1"/>
    </xf>
    <xf numFmtId="10" fontId="52" fillId="0" borderId="0" xfId="17" applyNumberFormat="1" applyFont="1" applyAlignment="1">
      <alignment vertical="center"/>
    </xf>
    <xf numFmtId="2" fontId="52" fillId="0" borderId="0" xfId="17" applyNumberFormat="1" applyFont="1" applyAlignment="1">
      <alignment horizontal="center" vertical="center"/>
    </xf>
    <xf numFmtId="4" fontId="52" fillId="0" borderId="0" xfId="17" applyNumberFormat="1" applyFont="1" applyAlignment="1">
      <alignment horizontal="center" vertical="center"/>
    </xf>
    <xf numFmtId="10" fontId="52" fillId="0" borderId="0" xfId="15" applyNumberFormat="1" applyFont="1" applyAlignment="1" applyProtection="1">
      <alignment horizontal="left" vertical="center"/>
      <protection hidden="1"/>
    </xf>
    <xf numFmtId="2" fontId="52" fillId="0" borderId="0" xfId="15" applyNumberFormat="1" applyFont="1" applyAlignment="1" applyProtection="1">
      <alignment horizontal="center" vertical="center"/>
      <protection hidden="1"/>
    </xf>
    <xf numFmtId="4" fontId="52" fillId="0" borderId="0" xfId="15" applyNumberFormat="1" applyFont="1" applyAlignment="1" applyProtection="1">
      <alignment horizontal="center" vertical="center"/>
      <protection hidden="1"/>
    </xf>
    <xf numFmtId="49" fontId="54" fillId="0" borderId="0" xfId="15" applyNumberFormat="1" applyFont="1" applyAlignment="1" applyProtection="1">
      <alignment horizontal="left" vertical="center"/>
      <protection hidden="1"/>
    </xf>
    <xf numFmtId="10" fontId="53" fillId="0" borderId="0" xfId="15" applyNumberFormat="1" applyFont="1" applyAlignment="1" applyProtection="1">
      <alignment horizontal="center" vertical="center"/>
      <protection hidden="1"/>
    </xf>
    <xf numFmtId="2" fontId="53" fillId="0" borderId="0" xfId="2" applyNumberFormat="1" applyFont="1" applyFill="1" applyBorder="1" applyAlignment="1" applyProtection="1">
      <alignment horizontal="center" vertical="center"/>
      <protection hidden="1"/>
    </xf>
    <xf numFmtId="0" fontId="53" fillId="0" borderId="0" xfId="15" applyFont="1" applyAlignment="1" applyProtection="1">
      <alignment horizontal="right" vertical="center"/>
      <protection hidden="1"/>
    </xf>
    <xf numFmtId="4" fontId="53" fillId="0" borderId="0" xfId="2" applyNumberFormat="1" applyFont="1" applyFill="1" applyBorder="1" applyAlignment="1" applyProtection="1">
      <alignment horizontal="center" vertical="center"/>
      <protection hidden="1"/>
    </xf>
    <xf numFmtId="187" fontId="53" fillId="0" borderId="0" xfId="3" applyNumberFormat="1" applyFont="1" applyFill="1" applyBorder="1" applyAlignment="1" applyProtection="1">
      <alignment horizontal="center" vertical="center"/>
      <protection hidden="1"/>
    </xf>
    <xf numFmtId="177" fontId="53" fillId="0" borderId="0" xfId="15" applyNumberFormat="1" applyFont="1" applyAlignment="1" applyProtection="1">
      <alignment horizontal="center" vertical="center"/>
      <protection hidden="1"/>
    </xf>
    <xf numFmtId="195" fontId="53" fillId="0" borderId="0" xfId="15" applyNumberFormat="1" applyFont="1" applyAlignment="1" applyProtection="1">
      <alignment horizontal="left" vertical="center"/>
      <protection hidden="1"/>
    </xf>
    <xf numFmtId="0" fontId="53" fillId="0" borderId="0" xfId="3" applyNumberFormat="1" applyFont="1" applyFill="1" applyBorder="1" applyAlignment="1" applyProtection="1">
      <alignment horizontal="center" vertical="center"/>
      <protection hidden="1"/>
    </xf>
    <xf numFmtId="182" fontId="52" fillId="0" borderId="0" xfId="5" applyNumberFormat="1" applyFont="1" applyFill="1" applyAlignment="1">
      <alignment horizontal="right" vertical="center"/>
    </xf>
    <xf numFmtId="164" fontId="53" fillId="0" borderId="0" xfId="2" applyFont="1" applyFill="1" applyBorder="1" applyAlignment="1" applyProtection="1">
      <alignment horizontal="left" vertical="center"/>
      <protection hidden="1"/>
    </xf>
    <xf numFmtId="182" fontId="53" fillId="0" borderId="0" xfId="15" applyNumberFormat="1" applyFont="1" applyAlignment="1" applyProtection="1">
      <alignment horizontal="left" vertical="center"/>
      <protection hidden="1"/>
    </xf>
    <xf numFmtId="177" fontId="53" fillId="0" borderId="0" xfId="22" applyNumberFormat="1" applyFont="1" applyFill="1" applyBorder="1" applyAlignment="1" applyProtection="1">
      <alignment horizontal="center" vertical="center"/>
      <protection hidden="1"/>
    </xf>
    <xf numFmtId="0" fontId="53" fillId="0" borderId="0" xfId="15" applyFont="1" applyAlignment="1" applyProtection="1">
      <alignment horizontal="center" vertical="center"/>
      <protection hidden="1"/>
    </xf>
    <xf numFmtId="164" fontId="53" fillId="0" borderId="0" xfId="15" applyNumberFormat="1" applyFont="1" applyAlignment="1" applyProtection="1">
      <alignment horizontal="left" vertical="center"/>
      <protection hidden="1"/>
    </xf>
    <xf numFmtId="0" fontId="62" fillId="0" borderId="0" xfId="0" applyFont="1" applyAlignment="1">
      <alignment horizontal="right" vertical="center"/>
    </xf>
    <xf numFmtId="10" fontId="52" fillId="0" borderId="0" xfId="17" applyNumberFormat="1" applyFont="1" applyAlignment="1">
      <alignment horizontal="right" vertical="center"/>
    </xf>
    <xf numFmtId="179" fontId="52" fillId="0" borderId="0" xfId="17" applyNumberFormat="1" applyFont="1" applyAlignment="1">
      <alignment horizontal="center" vertical="center"/>
    </xf>
    <xf numFmtId="195" fontId="52" fillId="0" borderId="0" xfId="17" applyNumberFormat="1" applyFont="1" applyAlignment="1">
      <alignment horizontal="center" vertical="center"/>
    </xf>
    <xf numFmtId="195" fontId="52" fillId="34" borderId="29" xfId="17" applyNumberFormat="1" applyFont="1" applyFill="1" applyBorder="1" applyAlignment="1">
      <alignment vertical="center"/>
    </xf>
    <xf numFmtId="49" fontId="70" fillId="0" borderId="0" xfId="17" applyNumberFormat="1" applyFont="1" applyAlignment="1">
      <alignment horizontal="right" vertical="center"/>
    </xf>
    <xf numFmtId="2" fontId="70" fillId="0" borderId="0" xfId="17" applyNumberFormat="1" applyFont="1" applyAlignment="1">
      <alignment vertical="center"/>
    </xf>
    <xf numFmtId="2" fontId="71" fillId="0" borderId="0" xfId="17" applyNumberFormat="1" applyFont="1" applyAlignment="1">
      <alignment vertical="center"/>
    </xf>
    <xf numFmtId="49" fontId="75" fillId="35" borderId="0" xfId="15" applyNumberFormat="1" applyFont="1" applyFill="1" applyAlignment="1" applyProtection="1">
      <alignment horizontal="center" vertical="center" wrapText="1"/>
      <protection hidden="1"/>
    </xf>
    <xf numFmtId="0" fontId="75" fillId="35" borderId="0" xfId="17" applyFont="1" applyFill="1" applyAlignment="1">
      <alignment horizontal="center" vertical="center" wrapText="1"/>
    </xf>
    <xf numFmtId="0" fontId="75" fillId="35" borderId="0" xfId="15" applyFont="1" applyFill="1" applyAlignment="1" applyProtection="1">
      <alignment horizontal="center" vertical="center" wrapText="1"/>
      <protection hidden="1"/>
    </xf>
    <xf numFmtId="49" fontId="75" fillId="0" borderId="0" xfId="15" applyNumberFormat="1" applyFont="1" applyAlignment="1" applyProtection="1">
      <alignment horizontal="center" vertical="center" wrapText="1"/>
      <protection hidden="1"/>
    </xf>
    <xf numFmtId="0" fontId="75" fillId="0" borderId="0" xfId="17" applyFont="1" applyAlignment="1">
      <alignment horizontal="center" vertical="center" wrapText="1"/>
    </xf>
    <xf numFmtId="0" fontId="75" fillId="0" borderId="0" xfId="15" applyFont="1" applyAlignment="1" applyProtection="1">
      <alignment horizontal="center" vertical="center" wrapText="1"/>
      <protection hidden="1"/>
    </xf>
    <xf numFmtId="49" fontId="75" fillId="36" borderId="0" xfId="15" applyNumberFormat="1" applyFont="1" applyFill="1" applyAlignment="1" applyProtection="1">
      <alignment horizontal="center" vertical="center" wrapText="1"/>
      <protection hidden="1"/>
    </xf>
    <xf numFmtId="0" fontId="52" fillId="36" borderId="0" xfId="17" applyFont="1" applyFill="1" applyAlignment="1">
      <alignment vertical="center"/>
    </xf>
    <xf numFmtId="0" fontId="54" fillId="36" borderId="0" xfId="17" applyFont="1" applyFill="1" applyAlignment="1">
      <alignment vertical="center"/>
    </xf>
    <xf numFmtId="49" fontId="52" fillId="0" borderId="33" xfId="17" applyNumberFormat="1" applyFont="1" applyBorder="1" applyAlignment="1">
      <alignment vertical="center"/>
    </xf>
    <xf numFmtId="0" fontId="52" fillId="0" borderId="33" xfId="17" applyFont="1" applyBorder="1" applyAlignment="1">
      <alignment vertical="center"/>
    </xf>
    <xf numFmtId="2" fontId="53" fillId="0" borderId="28" xfId="2" applyNumberFormat="1" applyFont="1" applyFill="1" applyBorder="1" applyAlignment="1" applyProtection="1">
      <alignment horizontal="center" vertical="center"/>
      <protection hidden="1"/>
    </xf>
    <xf numFmtId="4" fontId="53" fillId="0" borderId="28" xfId="2" applyNumberFormat="1" applyFont="1" applyFill="1" applyBorder="1" applyAlignment="1" applyProtection="1">
      <alignment horizontal="center" vertical="center"/>
      <protection hidden="1"/>
    </xf>
    <xf numFmtId="187" fontId="53" fillId="0" borderId="28" xfId="3" applyNumberFormat="1" applyFont="1" applyFill="1" applyBorder="1" applyAlignment="1" applyProtection="1">
      <alignment horizontal="center" vertical="center"/>
      <protection hidden="1"/>
    </xf>
    <xf numFmtId="49" fontId="74" fillId="0" borderId="0" xfId="15" applyNumberFormat="1" applyFont="1" applyAlignment="1" applyProtection="1">
      <alignment horizontal="left" vertical="center" indent="1"/>
      <protection hidden="1"/>
    </xf>
    <xf numFmtId="0" fontId="52" fillId="0" borderId="0" xfId="17" applyFont="1" applyAlignment="1">
      <alignment horizontal="left" vertical="center" indent="1"/>
    </xf>
    <xf numFmtId="49" fontId="52" fillId="0" borderId="0" xfId="15" applyNumberFormat="1" applyFont="1" applyAlignment="1" applyProtection="1">
      <alignment horizontal="left" vertical="center" indent="1"/>
      <protection hidden="1"/>
    </xf>
    <xf numFmtId="164" fontId="68" fillId="0" borderId="0" xfId="2" applyFont="1" applyFill="1" applyAlignment="1">
      <alignment horizontal="left" vertical="center" indent="1"/>
    </xf>
    <xf numFmtId="49" fontId="66" fillId="0" borderId="0" xfId="15" applyNumberFormat="1" applyFont="1" applyAlignment="1" applyProtection="1">
      <alignment horizontal="left" vertical="center" indent="1"/>
      <protection hidden="1"/>
    </xf>
    <xf numFmtId="49" fontId="69" fillId="0" borderId="0" xfId="15" applyNumberFormat="1" applyFont="1" applyAlignment="1" applyProtection="1">
      <alignment horizontal="left" vertical="center" indent="1"/>
      <protection hidden="1"/>
    </xf>
    <xf numFmtId="49" fontId="53" fillId="0" borderId="0" xfId="15" applyNumberFormat="1" applyFont="1" applyAlignment="1" applyProtection="1">
      <alignment horizontal="left" vertical="center" indent="1"/>
      <protection hidden="1"/>
    </xf>
    <xf numFmtId="187" fontId="53" fillId="0" borderId="0" xfId="3" applyNumberFormat="1" applyFont="1" applyFill="1" applyBorder="1" applyAlignment="1" applyProtection="1">
      <alignment horizontal="left" vertical="center" indent="1"/>
      <protection hidden="1"/>
    </xf>
    <xf numFmtId="49" fontId="52" fillId="0" borderId="0" xfId="17" applyNumberFormat="1" applyFont="1" applyAlignment="1">
      <alignment horizontal="left" vertical="center" indent="1"/>
    </xf>
    <xf numFmtId="49" fontId="52" fillId="34" borderId="27" xfId="17" applyNumberFormat="1" applyFont="1" applyFill="1" applyBorder="1" applyAlignment="1">
      <alignment horizontal="left" vertical="center" indent="1"/>
    </xf>
    <xf numFmtId="0" fontId="73" fillId="0" borderId="0" xfId="17" applyFont="1" applyAlignment="1">
      <alignment horizontal="left" vertical="center" indent="1"/>
    </xf>
    <xf numFmtId="49" fontId="73" fillId="0" borderId="0" xfId="15" applyNumberFormat="1" applyFont="1" applyAlignment="1" applyProtection="1">
      <alignment horizontal="left" vertical="center" indent="1"/>
      <protection hidden="1"/>
    </xf>
    <xf numFmtId="49" fontId="72" fillId="0" borderId="0" xfId="17" applyNumberFormat="1" applyFont="1" applyAlignment="1">
      <alignment vertical="center"/>
    </xf>
    <xf numFmtId="0" fontId="78" fillId="0" borderId="0" xfId="17" applyFont="1" applyAlignment="1">
      <alignment vertical="center"/>
    </xf>
    <xf numFmtId="0" fontId="78" fillId="0" borderId="0" xfId="17" applyFont="1" applyAlignment="1">
      <alignment horizontal="right" vertical="center"/>
    </xf>
    <xf numFmtId="187" fontId="72" fillId="0" borderId="0" xfId="3" applyNumberFormat="1" applyFont="1" applyFill="1" applyBorder="1" applyAlignment="1" applyProtection="1">
      <alignment horizontal="center" vertical="center"/>
      <protection hidden="1"/>
    </xf>
    <xf numFmtId="164" fontId="53" fillId="0" borderId="0" xfId="2" applyFont="1" applyFill="1" applyBorder="1" applyAlignment="1" applyProtection="1">
      <alignment horizontal="right" vertical="center"/>
      <protection hidden="1"/>
    </xf>
    <xf numFmtId="0" fontId="62" fillId="0" borderId="0" xfId="0" applyFont="1" applyAlignment="1">
      <alignment horizontal="center" vertical="center"/>
    </xf>
    <xf numFmtId="49" fontId="56" fillId="0" borderId="0" xfId="17" applyNumberFormat="1" applyFont="1" applyAlignment="1">
      <alignment horizontal="left" vertical="center" indent="1"/>
    </xf>
    <xf numFmtId="2" fontId="62" fillId="0" borderId="0" xfId="0" applyNumberFormat="1" applyFont="1" applyAlignment="1">
      <alignment vertical="center"/>
    </xf>
    <xf numFmtId="189" fontId="80" fillId="0" borderId="0" xfId="17" applyNumberFormat="1" applyFont="1" applyAlignment="1">
      <alignment vertical="center"/>
    </xf>
    <xf numFmtId="0" fontId="81" fillId="0" borderId="0" xfId="0" applyFont="1" applyAlignment="1">
      <alignment vertical="center"/>
    </xf>
    <xf numFmtId="0" fontId="62" fillId="0" borderId="0" xfId="0" quotePrefix="1" applyFont="1" applyAlignment="1">
      <alignment vertical="center"/>
    </xf>
    <xf numFmtId="179" fontId="62" fillId="0" borderId="0" xfId="0" applyNumberFormat="1" applyFont="1" applyAlignment="1">
      <alignment horizontal="center" vertical="center"/>
    </xf>
    <xf numFmtId="0" fontId="62" fillId="32" borderId="0" xfId="0" applyFont="1" applyFill="1" applyAlignment="1">
      <alignment horizontal="center" vertical="center"/>
    </xf>
    <xf numFmtId="4" fontId="52" fillId="0" borderId="0" xfId="2" applyNumberFormat="1" applyFont="1" applyFill="1" applyBorder="1" applyAlignment="1">
      <alignment horizontal="center" vertical="center"/>
    </xf>
    <xf numFmtId="183" fontId="52" fillId="0" borderId="0" xfId="0" applyNumberFormat="1" applyFont="1" applyAlignment="1">
      <alignment horizontal="center" vertical="center"/>
    </xf>
    <xf numFmtId="4" fontId="83" fillId="0" borderId="0" xfId="0" applyNumberFormat="1" applyFont="1" applyAlignment="1">
      <alignment horizontal="center" vertical="center"/>
    </xf>
    <xf numFmtId="179" fontId="52" fillId="0" borderId="0" xfId="0" applyNumberFormat="1" applyFont="1" applyAlignment="1">
      <alignment horizontal="center" vertical="center"/>
    </xf>
    <xf numFmtId="3" fontId="84" fillId="0" borderId="0" xfId="2" applyNumberFormat="1" applyFont="1" applyAlignment="1">
      <alignment horizontal="center" vertical="center"/>
    </xf>
    <xf numFmtId="4" fontId="62" fillId="0" borderId="0" xfId="0" applyNumberFormat="1" applyFont="1" applyAlignment="1">
      <alignment horizontal="center" vertical="center" wrapText="1"/>
    </xf>
    <xf numFmtId="4" fontId="62" fillId="0" borderId="0" xfId="0" applyNumberFormat="1" applyFont="1" applyAlignment="1">
      <alignment horizontal="center" vertical="center"/>
    </xf>
    <xf numFmtId="4" fontId="62" fillId="0" borderId="0" xfId="0" applyNumberFormat="1" applyFont="1" applyAlignment="1">
      <alignment vertical="center"/>
    </xf>
    <xf numFmtId="0" fontId="82" fillId="0" borderId="0" xfId="0" applyFont="1" applyAlignment="1">
      <alignment horizontal="center" vertical="center"/>
    </xf>
    <xf numFmtId="178" fontId="83" fillId="0" borderId="0" xfId="0" applyNumberFormat="1" applyFont="1" applyAlignment="1">
      <alignment horizontal="center" vertical="center"/>
    </xf>
    <xf numFmtId="4" fontId="84" fillId="0" borderId="0" xfId="2" applyNumberFormat="1" applyFont="1" applyAlignment="1">
      <alignment horizontal="center" vertical="center"/>
    </xf>
    <xf numFmtId="0" fontId="86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 indent="1"/>
    </xf>
    <xf numFmtId="195" fontId="62" fillId="0" borderId="0" xfId="0" applyNumberFormat="1" applyFont="1" applyAlignment="1">
      <alignment vertical="center"/>
    </xf>
    <xf numFmtId="164" fontId="62" fillId="0" borderId="0" xfId="0" applyNumberFormat="1" applyFont="1" applyAlignment="1">
      <alignment vertical="center"/>
    </xf>
    <xf numFmtId="0" fontId="76" fillId="0" borderId="0" xfId="0" applyFont="1" applyAlignment="1">
      <alignment vertical="center"/>
    </xf>
    <xf numFmtId="4" fontId="76" fillId="0" borderId="0" xfId="0" applyNumberFormat="1" applyFont="1" applyAlignment="1">
      <alignment vertical="center"/>
    </xf>
    <xf numFmtId="185" fontId="62" fillId="0" borderId="0" xfId="0" applyNumberFormat="1" applyFont="1" applyAlignment="1">
      <alignment vertical="center"/>
    </xf>
    <xf numFmtId="183" fontId="52" fillId="0" borderId="0" xfId="0" applyNumberFormat="1" applyFont="1" applyAlignment="1">
      <alignment vertical="center"/>
    </xf>
    <xf numFmtId="187" fontId="52" fillId="0" borderId="0" xfId="0" applyNumberFormat="1" applyFont="1" applyAlignment="1">
      <alignment vertical="center"/>
    </xf>
    <xf numFmtId="4" fontId="52" fillId="0" borderId="0" xfId="0" applyNumberFormat="1" applyFont="1" applyAlignment="1">
      <alignment horizontal="center" vertical="center"/>
    </xf>
    <xf numFmtId="195" fontId="76" fillId="0" borderId="0" xfId="0" applyNumberFormat="1" applyFont="1" applyAlignment="1">
      <alignment horizontal="center" vertical="center"/>
    </xf>
    <xf numFmtId="187" fontId="62" fillId="0" borderId="0" xfId="0" applyNumberFormat="1" applyFont="1" applyAlignment="1">
      <alignment horizontal="center" vertical="center"/>
    </xf>
    <xf numFmtId="195" fontId="84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right" vertical="center"/>
    </xf>
    <xf numFmtId="183" fontId="63" fillId="0" borderId="0" xfId="0" applyNumberFormat="1" applyFont="1" applyAlignment="1">
      <alignment vertical="center"/>
    </xf>
    <xf numFmtId="181" fontId="76" fillId="0" borderId="0" xfId="22" applyNumberFormat="1" applyFont="1" applyFill="1" applyAlignment="1">
      <alignment horizontal="right" vertical="center"/>
    </xf>
    <xf numFmtId="183" fontId="76" fillId="0" borderId="0" xfId="0" applyNumberFormat="1" applyFont="1" applyAlignment="1">
      <alignment vertical="center"/>
    </xf>
    <xf numFmtId="195" fontId="62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185" fontId="59" fillId="0" borderId="0" xfId="0" applyNumberFormat="1" applyFont="1" applyAlignment="1">
      <alignment vertical="center"/>
    </xf>
    <xf numFmtId="185" fontId="56" fillId="0" borderId="0" xfId="0" applyNumberFormat="1" applyFont="1" applyAlignment="1">
      <alignment vertical="center"/>
    </xf>
    <xf numFmtId="183" fontId="69" fillId="0" borderId="0" xfId="0" applyNumberFormat="1" applyFont="1" applyAlignment="1">
      <alignment vertical="center"/>
    </xf>
    <xf numFmtId="183" fontId="62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69" fillId="0" borderId="0" xfId="19" applyFont="1" applyAlignment="1">
      <alignment vertical="center"/>
    </xf>
    <xf numFmtId="0" fontId="88" fillId="0" borderId="0" xfId="19" applyFont="1" applyAlignment="1">
      <alignment vertical="center"/>
    </xf>
    <xf numFmtId="3" fontId="90" fillId="0" borderId="0" xfId="0" applyNumberFormat="1" applyFont="1"/>
    <xf numFmtId="0" fontId="91" fillId="0" borderId="0" xfId="19" applyFont="1" applyAlignment="1">
      <alignment horizontal="right" vertical="center"/>
    </xf>
    <xf numFmtId="9" fontId="67" fillId="0" borderId="0" xfId="19" applyNumberFormat="1" applyFont="1" applyAlignment="1">
      <alignment vertical="center"/>
    </xf>
    <xf numFmtId="10" fontId="69" fillId="0" borderId="26" xfId="19" applyNumberFormat="1" applyFont="1" applyBorder="1" applyAlignment="1" applyProtection="1">
      <alignment horizontal="center" vertical="center"/>
      <protection locked="0" hidden="1"/>
    </xf>
    <xf numFmtId="49" fontId="70" fillId="0" borderId="0" xfId="17" applyNumberFormat="1" applyFont="1" applyAlignment="1">
      <alignment horizontal="left" vertical="center" indent="1"/>
    </xf>
    <xf numFmtId="2" fontId="92" fillId="0" borderId="0" xfId="17" applyNumberFormat="1" applyFont="1" applyAlignment="1">
      <alignment vertical="center"/>
    </xf>
    <xf numFmtId="0" fontId="93" fillId="0" borderId="0" xfId="0" applyFont="1" applyAlignment="1">
      <alignment vertical="center"/>
    </xf>
    <xf numFmtId="2" fontId="75" fillId="35" borderId="0" xfId="0" applyNumberFormat="1" applyFont="1" applyFill="1" applyAlignment="1">
      <alignment horizontal="left" vertical="center" wrapText="1" indent="1"/>
    </xf>
    <xf numFmtId="2" fontId="75" fillId="35" borderId="0" xfId="0" applyNumberFormat="1" applyFont="1" applyFill="1" applyAlignment="1">
      <alignment vertical="center" wrapText="1"/>
    </xf>
    <xf numFmtId="2" fontId="75" fillId="35" borderId="0" xfId="0" applyNumberFormat="1" applyFont="1" applyFill="1" applyAlignment="1">
      <alignment horizontal="center" vertical="center" wrapText="1"/>
    </xf>
    <xf numFmtId="0" fontId="75" fillId="35" borderId="0" xfId="0" applyFont="1" applyFill="1" applyAlignment="1">
      <alignment horizontal="center" vertical="center" wrapText="1"/>
    </xf>
    <xf numFmtId="0" fontId="94" fillId="35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93" fillId="0" borderId="0" xfId="0" applyFont="1" applyAlignment="1">
      <alignment horizontal="center" vertical="center" wrapText="1"/>
    </xf>
    <xf numFmtId="2" fontId="75" fillId="0" borderId="0" xfId="0" applyNumberFormat="1" applyFont="1" applyAlignment="1">
      <alignment vertical="center" wrapText="1"/>
    </xf>
    <xf numFmtId="2" fontId="75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2" fontId="75" fillId="36" borderId="0" xfId="0" applyNumberFormat="1" applyFont="1" applyFill="1" applyAlignment="1">
      <alignment horizontal="left" vertical="center" wrapText="1" indent="1"/>
    </xf>
    <xf numFmtId="49" fontId="52" fillId="0" borderId="33" xfId="17" applyNumberFormat="1" applyFont="1" applyBorder="1" applyAlignment="1">
      <alignment horizontal="left" vertical="center" indent="1"/>
    </xf>
    <xf numFmtId="0" fontId="54" fillId="0" borderId="33" xfId="17" applyFont="1" applyBorder="1" applyAlignment="1">
      <alignment vertical="center"/>
    </xf>
    <xf numFmtId="0" fontId="62" fillId="0" borderId="33" xfId="0" applyFont="1" applyBorder="1" applyAlignment="1">
      <alignment vertical="center"/>
    </xf>
    <xf numFmtId="0" fontId="52" fillId="0" borderId="0" xfId="24" applyFont="1"/>
    <xf numFmtId="1" fontId="52" fillId="0" borderId="0" xfId="24" applyNumberFormat="1" applyFont="1" applyAlignment="1">
      <alignment horizontal="center"/>
    </xf>
    <xf numFmtId="166" fontId="52" fillId="0" borderId="0" xfId="9" applyFont="1" applyAlignment="1">
      <alignment horizontal="left"/>
    </xf>
    <xf numFmtId="166" fontId="52" fillId="0" borderId="0" xfId="9" applyFont="1" applyAlignment="1">
      <alignment horizontal="center"/>
    </xf>
    <xf numFmtId="174" fontId="52" fillId="0" borderId="0" xfId="24" applyNumberFormat="1" applyFont="1" applyAlignment="1">
      <alignment horizontal="center"/>
    </xf>
    <xf numFmtId="3" fontId="52" fillId="0" borderId="0" xfId="24" applyNumberFormat="1" applyFont="1" applyAlignment="1">
      <alignment horizontal="center"/>
    </xf>
    <xf numFmtId="3" fontId="52" fillId="0" borderId="0" xfId="9" applyNumberFormat="1" applyFont="1" applyAlignment="1">
      <alignment horizontal="center"/>
    </xf>
    <xf numFmtId="3" fontId="52" fillId="0" borderId="0" xfId="9" applyNumberFormat="1" applyFont="1" applyAlignment="1">
      <alignment horizontal="right"/>
    </xf>
    <xf numFmtId="166" fontId="52" fillId="0" borderId="0" xfId="9" applyFont="1" applyAlignment="1">
      <alignment horizontal="right" wrapText="1"/>
    </xf>
    <xf numFmtId="166" fontId="52" fillId="0" borderId="0" xfId="9" applyFont="1" applyAlignment="1">
      <alignment horizontal="right"/>
    </xf>
    <xf numFmtId="49" fontId="56" fillId="0" borderId="0" xfId="17" applyNumberFormat="1" applyFont="1"/>
    <xf numFmtId="0" fontId="55" fillId="0" borderId="0" xfId="17" applyFont="1" applyAlignment="1">
      <alignment horizontal="center"/>
    </xf>
    <xf numFmtId="0" fontId="55" fillId="0" borderId="0" xfId="17" applyFont="1"/>
    <xf numFmtId="4" fontId="52" fillId="0" borderId="0" xfId="17" applyNumberFormat="1" applyFont="1" applyAlignment="1">
      <alignment horizontal="center"/>
    </xf>
    <xf numFmtId="4" fontId="52" fillId="0" borderId="0" xfId="17" applyNumberFormat="1" applyFont="1" applyAlignment="1">
      <alignment horizontal="right"/>
    </xf>
    <xf numFmtId="195" fontId="55" fillId="0" borderId="0" xfId="17" applyNumberFormat="1" applyFont="1" applyAlignment="1">
      <alignment horizontal="right" wrapText="1"/>
    </xf>
    <xf numFmtId="0" fontId="55" fillId="0" borderId="0" xfId="17" applyFont="1" applyAlignment="1">
      <alignment horizontal="right"/>
    </xf>
    <xf numFmtId="195" fontId="55" fillId="0" borderId="0" xfId="17" applyNumberFormat="1" applyFont="1"/>
    <xf numFmtId="195" fontId="55" fillId="0" borderId="0" xfId="17" applyNumberFormat="1" applyFont="1" applyAlignment="1">
      <alignment horizontal="center"/>
    </xf>
    <xf numFmtId="0" fontId="52" fillId="0" borderId="0" xfId="0" applyFont="1" applyAlignment="1">
      <alignment vertical="top"/>
    </xf>
    <xf numFmtId="2" fontId="52" fillId="0" borderId="0" xfId="0" applyNumberFormat="1" applyFont="1" applyAlignment="1">
      <alignment vertical="top"/>
    </xf>
    <xf numFmtId="3" fontId="55" fillId="0" borderId="0" xfId="17" applyNumberFormat="1" applyFont="1" applyAlignment="1">
      <alignment horizontal="center"/>
    </xf>
    <xf numFmtId="4" fontId="52" fillId="0" borderId="0" xfId="24" applyNumberFormat="1" applyFont="1" applyAlignment="1">
      <alignment horizontal="center"/>
    </xf>
    <xf numFmtId="3" fontId="55" fillId="0" borderId="0" xfId="17" applyNumberFormat="1" applyFont="1" applyAlignment="1">
      <alignment horizontal="right"/>
    </xf>
    <xf numFmtId="0" fontId="55" fillId="0" borderId="0" xfId="17" applyFont="1" applyAlignment="1">
      <alignment horizontal="right" wrapText="1"/>
    </xf>
    <xf numFmtId="195" fontId="53" fillId="0" borderId="0" xfId="24" applyNumberFormat="1" applyFont="1" applyAlignment="1">
      <alignment horizontal="center"/>
    </xf>
    <xf numFmtId="174" fontId="55" fillId="0" borderId="0" xfId="17" applyNumberFormat="1" applyFont="1"/>
    <xf numFmtId="0" fontId="52" fillId="0" borderId="0" xfId="24" applyFont="1" applyAlignment="1">
      <alignment horizontal="center"/>
    </xf>
    <xf numFmtId="2" fontId="52" fillId="0" borderId="0" xfId="24" applyNumberFormat="1" applyFont="1" applyAlignment="1">
      <alignment horizontal="center"/>
    </xf>
    <xf numFmtId="2" fontId="52" fillId="0" borderId="0" xfId="9" applyNumberFormat="1" applyFont="1" applyAlignment="1">
      <alignment horizontal="left"/>
    </xf>
    <xf numFmtId="2" fontId="52" fillId="0" borderId="0" xfId="9" applyNumberFormat="1" applyFont="1" applyAlignment="1">
      <alignment horizontal="center"/>
    </xf>
    <xf numFmtId="2" fontId="52" fillId="0" borderId="0" xfId="9" applyNumberFormat="1" applyFont="1" applyAlignment="1">
      <alignment horizontal="left" wrapText="1"/>
    </xf>
    <xf numFmtId="0" fontId="83" fillId="0" borderId="0" xfId="24" applyFont="1"/>
    <xf numFmtId="166" fontId="52" fillId="0" borderId="0" xfId="9" applyFont="1" applyFill="1" applyAlignment="1">
      <alignment horizontal="left"/>
    </xf>
    <xf numFmtId="166" fontId="52" fillId="0" borderId="0" xfId="9" applyFont="1" applyFill="1" applyAlignment="1">
      <alignment horizontal="center"/>
    </xf>
    <xf numFmtId="0" fontId="52" fillId="0" borderId="0" xfId="24" applyFont="1" applyAlignment="1">
      <alignment wrapText="1"/>
    </xf>
    <xf numFmtId="0" fontId="53" fillId="10" borderId="0" xfId="24" applyFont="1" applyFill="1" applyAlignment="1">
      <alignment horizontal="center" vertical="center"/>
    </xf>
    <xf numFmtId="3" fontId="52" fillId="0" borderId="0" xfId="9" applyNumberFormat="1" applyFont="1" applyFill="1" applyAlignment="1">
      <alignment horizontal="right"/>
    </xf>
    <xf numFmtId="179" fontId="86" fillId="0" borderId="0" xfId="24" applyNumberFormat="1" applyFont="1" applyAlignment="1">
      <alignment horizontal="center" vertical="center"/>
    </xf>
    <xf numFmtId="166" fontId="52" fillId="0" borderId="0" xfId="9" applyFont="1" applyFill="1" applyAlignment="1">
      <alignment horizontal="right" wrapText="1"/>
    </xf>
    <xf numFmtId="166" fontId="84" fillId="0" borderId="0" xfId="9" applyFont="1" applyAlignment="1">
      <alignment horizontal="center"/>
    </xf>
    <xf numFmtId="0" fontId="84" fillId="0" borderId="0" xfId="24" applyFont="1" applyAlignment="1">
      <alignment horizontal="center"/>
    </xf>
    <xf numFmtId="3" fontId="52" fillId="0" borderId="0" xfId="9" applyNumberFormat="1" applyFont="1" applyFill="1" applyAlignment="1">
      <alignment horizontal="center"/>
    </xf>
    <xf numFmtId="3" fontId="84" fillId="0" borderId="0" xfId="9" applyNumberFormat="1" applyFont="1" applyFill="1" applyAlignment="1">
      <alignment horizontal="right"/>
    </xf>
    <xf numFmtId="3" fontId="84" fillId="0" borderId="0" xfId="9" applyNumberFormat="1" applyFont="1" applyFill="1" applyAlignment="1">
      <alignment horizontal="center" wrapText="1"/>
    </xf>
    <xf numFmtId="0" fontId="53" fillId="0" borderId="0" xfId="0" applyFont="1"/>
    <xf numFmtId="0" fontId="52" fillId="0" borderId="0" xfId="0" applyFont="1"/>
    <xf numFmtId="3" fontId="84" fillId="0" borderId="0" xfId="24" applyNumberFormat="1" applyFont="1" applyAlignment="1">
      <alignment horizontal="center"/>
    </xf>
    <xf numFmtId="3" fontId="84" fillId="0" borderId="0" xfId="9" applyNumberFormat="1" applyFont="1" applyFill="1" applyAlignment="1">
      <alignment horizontal="center"/>
    </xf>
    <xf numFmtId="166" fontId="52" fillId="0" borderId="0" xfId="9" applyFont="1" applyFill="1" applyAlignment="1">
      <alignment horizontal="right"/>
    </xf>
    <xf numFmtId="166" fontId="84" fillId="0" borderId="0" xfId="9" applyFont="1" applyFill="1" applyAlignment="1">
      <alignment horizontal="right"/>
    </xf>
    <xf numFmtId="0" fontId="84" fillId="0" borderId="0" xfId="24" applyFont="1"/>
    <xf numFmtId="166" fontId="84" fillId="0" borderId="0" xfId="9" applyFont="1" applyFill="1" applyAlignment="1">
      <alignment horizontal="center"/>
    </xf>
    <xf numFmtId="166" fontId="84" fillId="0" borderId="0" xfId="9" applyFont="1" applyFill="1" applyAlignment="1">
      <alignment horizontal="right" wrapText="1"/>
    </xf>
    <xf numFmtId="0" fontId="67" fillId="36" borderId="0" xfId="0" applyFont="1" applyFill="1" applyAlignment="1">
      <alignment horizontal="center"/>
    </xf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left"/>
    </xf>
    <xf numFmtId="3" fontId="77" fillId="0" borderId="0" xfId="0" applyNumberFormat="1" applyFont="1" applyAlignment="1">
      <alignment horizontal="center"/>
    </xf>
    <xf numFmtId="3" fontId="67" fillId="0" borderId="0" xfId="0" applyNumberFormat="1" applyFont="1" applyAlignment="1">
      <alignment horizontal="center"/>
    </xf>
    <xf numFmtId="3" fontId="67" fillId="0" borderId="0" xfId="0" applyNumberFormat="1" applyFont="1" applyAlignment="1">
      <alignment horizontal="right"/>
    </xf>
    <xf numFmtId="173" fontId="67" fillId="0" borderId="0" xfId="0" applyNumberFormat="1" applyFont="1" applyAlignment="1">
      <alignment horizontal="center"/>
    </xf>
    <xf numFmtId="173" fontId="67" fillId="0" borderId="0" xfId="0" applyNumberFormat="1" applyFont="1" applyAlignment="1">
      <alignment horizontal="left" wrapText="1"/>
    </xf>
    <xf numFmtId="2" fontId="92" fillId="0" borderId="0" xfId="17" applyNumberFormat="1" applyFont="1"/>
    <xf numFmtId="0" fontId="78" fillId="0" borderId="0" xfId="0" applyFont="1" applyAlignment="1">
      <alignment vertical="center"/>
    </xf>
    <xf numFmtId="171" fontId="75" fillId="35" borderId="0" xfId="0" applyNumberFormat="1" applyFont="1" applyFill="1" applyAlignment="1">
      <alignment horizontal="center" vertical="center" wrapText="1"/>
    </xf>
    <xf numFmtId="171" fontId="75" fillId="35" borderId="0" xfId="0" applyNumberFormat="1" applyFont="1" applyFill="1" applyAlignment="1">
      <alignment horizontal="left" vertical="center" wrapText="1"/>
    </xf>
    <xf numFmtId="2" fontId="75" fillId="35" borderId="0" xfId="9" applyNumberFormat="1" applyFont="1" applyFill="1" applyBorder="1" applyAlignment="1" applyProtection="1">
      <alignment horizontal="left" vertical="center" wrapText="1"/>
    </xf>
    <xf numFmtId="174" fontId="75" fillId="35" borderId="0" xfId="0" applyNumberFormat="1" applyFont="1" applyFill="1" applyAlignment="1">
      <alignment horizontal="center" vertical="center" wrapText="1"/>
    </xf>
    <xf numFmtId="3" fontId="75" fillId="35" borderId="0" xfId="0" applyNumberFormat="1" applyFont="1" applyFill="1" applyAlignment="1">
      <alignment horizontal="center" vertical="center" wrapText="1"/>
    </xf>
    <xf numFmtId="179" fontId="75" fillId="35" borderId="0" xfId="0" applyNumberFormat="1" applyFont="1" applyFill="1" applyAlignment="1">
      <alignment horizontal="center" vertical="center" wrapText="1"/>
    </xf>
    <xf numFmtId="173" fontId="75" fillId="35" borderId="0" xfId="0" applyNumberFormat="1" applyFont="1" applyFill="1" applyAlignment="1">
      <alignment horizontal="center" vertical="center" wrapText="1"/>
    </xf>
    <xf numFmtId="0" fontId="78" fillId="0" borderId="0" xfId="24" applyFont="1" applyAlignment="1">
      <alignment vertical="center"/>
    </xf>
    <xf numFmtId="0" fontId="97" fillId="0" borderId="0" xfId="17" applyFont="1"/>
    <xf numFmtId="179" fontId="84" fillId="0" borderId="0" xfId="9" applyNumberFormat="1" applyFont="1" applyFill="1" applyBorder="1" applyAlignment="1">
      <alignment horizontal="center" vertical="center"/>
    </xf>
    <xf numFmtId="179" fontId="84" fillId="0" borderId="0" xfId="9" applyNumberFormat="1" applyFont="1" applyFill="1" applyBorder="1" applyAlignment="1">
      <alignment horizontal="right" vertical="center"/>
    </xf>
    <xf numFmtId="10" fontId="84" fillId="0" borderId="0" xfId="0" applyNumberFormat="1" applyFont="1" applyAlignment="1">
      <alignment horizontal="center" vertical="center"/>
    </xf>
    <xf numFmtId="173" fontId="84" fillId="0" borderId="0" xfId="0" applyNumberFormat="1" applyFont="1" applyAlignment="1">
      <alignment horizontal="left" vertical="center" wrapText="1"/>
    </xf>
    <xf numFmtId="184" fontId="52" fillId="0" borderId="0" xfId="0" applyNumberFormat="1" applyFont="1" applyAlignment="1">
      <alignment horizontal="center" vertical="center"/>
    </xf>
    <xf numFmtId="1" fontId="52" fillId="0" borderId="0" xfId="24" applyNumberFormat="1" applyFont="1" applyAlignment="1">
      <alignment horizontal="center" vertical="center"/>
    </xf>
    <xf numFmtId="0" fontId="84" fillId="0" borderId="0" xfId="9" applyNumberFormat="1" applyFont="1" applyFill="1" applyBorder="1" applyAlignment="1">
      <alignment horizontal="left" vertical="center"/>
    </xf>
    <xf numFmtId="0" fontId="84" fillId="0" borderId="0" xfId="9" applyNumberFormat="1" applyFont="1" applyFill="1" applyBorder="1" applyAlignment="1">
      <alignment horizontal="center" vertical="center" wrapText="1"/>
    </xf>
    <xf numFmtId="174" fontId="84" fillId="0" borderId="0" xfId="0" applyNumberFormat="1" applyFont="1" applyAlignment="1">
      <alignment horizontal="center" vertical="center"/>
    </xf>
    <xf numFmtId="3" fontId="84" fillId="0" borderId="0" xfId="0" applyNumberFormat="1" applyFont="1" applyAlignment="1">
      <alignment horizontal="center" vertical="center"/>
    </xf>
    <xf numFmtId="172" fontId="96" fillId="36" borderId="0" xfId="0" applyNumberFormat="1" applyFont="1" applyFill="1" applyAlignment="1">
      <alignment horizontal="center"/>
    </xf>
    <xf numFmtId="0" fontId="52" fillId="0" borderId="33" xfId="24" applyFont="1" applyBorder="1" applyAlignment="1">
      <alignment horizontal="center"/>
    </xf>
    <xf numFmtId="1" fontId="52" fillId="0" borderId="33" xfId="24" applyNumberFormat="1" applyFont="1" applyBorder="1" applyAlignment="1">
      <alignment horizontal="center"/>
    </xf>
    <xf numFmtId="166" fontId="52" fillId="0" borderId="33" xfId="9" applyFont="1" applyFill="1" applyBorder="1" applyAlignment="1">
      <alignment horizontal="left"/>
    </xf>
    <xf numFmtId="166" fontId="52" fillId="0" borderId="33" xfId="9" applyFont="1" applyFill="1" applyBorder="1" applyAlignment="1">
      <alignment horizontal="center"/>
    </xf>
    <xf numFmtId="174" fontId="52" fillId="0" borderId="33" xfId="24" applyNumberFormat="1" applyFont="1" applyBorder="1" applyAlignment="1">
      <alignment horizontal="center"/>
    </xf>
    <xf numFmtId="3" fontId="52" fillId="0" borderId="33" xfId="24" applyNumberFormat="1" applyFont="1" applyBorder="1" applyAlignment="1">
      <alignment horizontal="center"/>
    </xf>
    <xf numFmtId="3" fontId="52" fillId="0" borderId="33" xfId="9" applyNumberFormat="1" applyFont="1" applyFill="1" applyBorder="1" applyAlignment="1">
      <alignment horizontal="center"/>
    </xf>
    <xf numFmtId="3" fontId="52" fillId="0" borderId="33" xfId="9" applyNumberFormat="1" applyFont="1" applyFill="1" applyBorder="1" applyAlignment="1">
      <alignment horizontal="right"/>
    </xf>
    <xf numFmtId="166" fontId="52" fillId="0" borderId="33" xfId="9" applyFont="1" applyFill="1" applyBorder="1" applyAlignment="1">
      <alignment horizontal="right" wrapText="1"/>
    </xf>
    <xf numFmtId="166" fontId="52" fillId="0" borderId="33" xfId="9" applyFont="1" applyFill="1" applyBorder="1" applyAlignment="1">
      <alignment horizontal="right"/>
    </xf>
    <xf numFmtId="9" fontId="86" fillId="10" borderId="28" xfId="22" applyFont="1" applyFill="1" applyBorder="1" applyAlignment="1" applyProtection="1">
      <alignment horizontal="center" vertical="center"/>
    </xf>
    <xf numFmtId="49" fontId="56" fillId="0" borderId="0" xfId="17" applyNumberFormat="1" applyFont="1" applyAlignment="1">
      <alignment horizontal="left" indent="1"/>
    </xf>
    <xf numFmtId="0" fontId="52" fillId="0" borderId="0" xfId="0" applyFont="1" applyAlignment="1">
      <alignment horizontal="center"/>
    </xf>
    <xf numFmtId="190" fontId="52" fillId="0" borderId="0" xfId="0" applyNumberFormat="1" applyFont="1" applyAlignment="1">
      <alignment horizontal="center"/>
    </xf>
    <xf numFmtId="2" fontId="76" fillId="0" borderId="0" xfId="0" applyNumberFormat="1" applyFont="1"/>
    <xf numFmtId="2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53" fillId="0" borderId="0" xfId="0" applyNumberFormat="1" applyFont="1"/>
    <xf numFmtId="0" fontId="86" fillId="0" borderId="0" xfId="0" applyFont="1"/>
    <xf numFmtId="179" fontId="53" fillId="0" borderId="0" xfId="0" applyNumberFormat="1" applyFont="1" applyAlignment="1">
      <alignment horizontal="center"/>
    </xf>
    <xf numFmtId="176" fontId="53" fillId="0" borderId="0" xfId="0" applyNumberFormat="1" applyFont="1" applyAlignment="1">
      <alignment horizontal="center"/>
    </xf>
    <xf numFmtId="2" fontId="53" fillId="0" borderId="0" xfId="9" applyNumberFormat="1" applyFont="1" applyFill="1" applyAlignment="1">
      <alignment horizontal="center"/>
    </xf>
    <xf numFmtId="2" fontId="62" fillId="0" borderId="0" xfId="22" applyNumberFormat="1" applyFont="1" applyFill="1" applyAlignment="1">
      <alignment horizontal="center"/>
    </xf>
    <xf numFmtId="166" fontId="53" fillId="0" borderId="0" xfId="9" applyFont="1" applyFill="1" applyAlignment="1"/>
    <xf numFmtId="166" fontId="53" fillId="0" borderId="0" xfId="9" applyFont="1" applyFill="1" applyAlignment="1">
      <alignment horizontal="center"/>
    </xf>
    <xf numFmtId="2" fontId="56" fillId="0" borderId="0" xfId="17" applyNumberFormat="1" applyFont="1"/>
    <xf numFmtId="2" fontId="57" fillId="0" borderId="0" xfId="0" applyNumberFormat="1" applyFont="1" applyAlignment="1">
      <alignment horizontal="center"/>
    </xf>
    <xf numFmtId="0" fontId="55" fillId="0" borderId="0" xfId="0" applyFont="1"/>
    <xf numFmtId="2" fontId="52" fillId="0" borderId="0" xfId="0" applyNumberFormat="1" applyFont="1"/>
    <xf numFmtId="1" fontId="53" fillId="0" borderId="0" xfId="0" applyNumberFormat="1" applyFont="1" applyAlignment="1">
      <alignment horizontal="left"/>
    </xf>
    <xf numFmtId="2" fontId="53" fillId="0" borderId="0" xfId="0" applyNumberFormat="1" applyFont="1" applyAlignment="1">
      <alignment horizontal="right"/>
    </xf>
    <xf numFmtId="0" fontId="84" fillId="0" borderId="0" xfId="0" applyFont="1"/>
    <xf numFmtId="179" fontId="52" fillId="0" borderId="0" xfId="0" applyNumberFormat="1" applyFont="1" applyAlignment="1">
      <alignment horizontal="center"/>
    </xf>
    <xf numFmtId="176" fontId="52" fillId="0" borderId="0" xfId="0" applyNumberFormat="1" applyFont="1" applyAlignment="1">
      <alignment horizontal="center"/>
    </xf>
    <xf numFmtId="2" fontId="52" fillId="0" borderId="0" xfId="0" applyNumberFormat="1" applyFont="1" applyAlignment="1">
      <alignment horizontal="center"/>
    </xf>
    <xf numFmtId="189" fontId="99" fillId="0" borderId="0" xfId="17" applyNumberFormat="1" applyFont="1" applyAlignment="1">
      <alignment horizontal="left"/>
    </xf>
    <xf numFmtId="2" fontId="52" fillId="0" borderId="0" xfId="9" applyNumberFormat="1" applyFont="1" applyFill="1" applyBorder="1" applyAlignment="1">
      <alignment horizontal="center" vertical="center"/>
    </xf>
    <xf numFmtId="189" fontId="100" fillId="0" borderId="0" xfId="17" applyNumberFormat="1" applyFont="1"/>
    <xf numFmtId="0" fontId="84" fillId="0" borderId="30" xfId="0" applyFont="1" applyBorder="1" applyAlignment="1">
      <alignment horizontal="center" vertical="center"/>
    </xf>
    <xf numFmtId="0" fontId="84" fillId="0" borderId="30" xfId="9" applyNumberFormat="1" applyFont="1" applyFill="1" applyBorder="1" applyAlignment="1">
      <alignment vertical="center"/>
    </xf>
    <xf numFmtId="179" fontId="84" fillId="0" borderId="30" xfId="0" applyNumberFormat="1" applyFont="1" applyBorder="1" applyAlignment="1">
      <alignment horizontal="center" vertical="center"/>
    </xf>
    <xf numFmtId="176" fontId="84" fillId="0" borderId="30" xfId="0" applyNumberFormat="1" applyFont="1" applyBorder="1" applyAlignment="1">
      <alignment horizontal="center" vertical="center"/>
    </xf>
    <xf numFmtId="1" fontId="84" fillId="0" borderId="30" xfId="0" applyNumberFormat="1" applyFont="1" applyBorder="1" applyAlignment="1">
      <alignment horizontal="center" vertical="center"/>
    </xf>
    <xf numFmtId="174" fontId="52" fillId="0" borderId="31" xfId="9" applyNumberFormat="1" applyFont="1" applyFill="1" applyBorder="1" applyAlignment="1">
      <alignment horizontal="center" vertical="center"/>
    </xf>
    <xf numFmtId="2" fontId="52" fillId="0" borderId="30" xfId="9" applyNumberFormat="1" applyFont="1" applyFill="1" applyBorder="1" applyAlignment="1">
      <alignment horizontal="center" vertical="center"/>
    </xf>
    <xf numFmtId="0" fontId="52" fillId="0" borderId="8" xfId="9" applyNumberFormat="1" applyFont="1" applyFill="1" applyBorder="1" applyAlignment="1">
      <alignment horizontal="left" vertical="center"/>
    </xf>
    <xf numFmtId="183" fontId="52" fillId="0" borderId="32" xfId="0" applyNumberFormat="1" applyFont="1" applyBorder="1" applyAlignment="1">
      <alignment horizontal="center" vertical="center"/>
    </xf>
    <xf numFmtId="190" fontId="52" fillId="0" borderId="0" xfId="0" applyNumberFormat="1" applyFont="1"/>
    <xf numFmtId="0" fontId="62" fillId="0" borderId="0" xfId="0" applyFont="1"/>
    <xf numFmtId="196" fontId="52" fillId="0" borderId="0" xfId="0" applyNumberFormat="1" applyFont="1" applyAlignment="1">
      <alignment horizontal="center"/>
    </xf>
    <xf numFmtId="1" fontId="52" fillId="0" borderId="0" xfId="0" applyNumberFormat="1" applyFont="1" applyAlignment="1">
      <alignment horizontal="left"/>
    </xf>
    <xf numFmtId="0" fontId="74" fillId="0" borderId="0" xfId="0" applyFont="1" applyAlignment="1">
      <alignment horizontal="center" vertical="center"/>
    </xf>
    <xf numFmtId="190" fontId="75" fillId="35" borderId="0" xfId="0" applyNumberFormat="1" applyFont="1" applyFill="1" applyAlignment="1">
      <alignment horizontal="center" vertical="center" wrapText="1"/>
    </xf>
    <xf numFmtId="196" fontId="75" fillId="35" borderId="0" xfId="0" applyNumberFormat="1" applyFont="1" applyFill="1" applyAlignment="1">
      <alignment horizontal="center" vertical="center" wrapText="1"/>
    </xf>
    <xf numFmtId="0" fontId="75" fillId="35" borderId="0" xfId="0" applyFont="1" applyFill="1" applyAlignment="1">
      <alignment vertical="center" wrapText="1"/>
    </xf>
    <xf numFmtId="176" fontId="75" fillId="35" borderId="0" xfId="0" applyNumberFormat="1" applyFont="1" applyFill="1" applyAlignment="1">
      <alignment horizontal="center" vertical="center" wrapText="1"/>
    </xf>
    <xf numFmtId="166" fontId="75" fillId="35" borderId="0" xfId="9" applyFont="1" applyFill="1" applyBorder="1" applyAlignment="1">
      <alignment horizontal="center" vertical="center" wrapText="1"/>
    </xf>
    <xf numFmtId="2" fontId="75" fillId="35" borderId="0" xfId="9" applyNumberFormat="1" applyFont="1" applyFill="1" applyBorder="1" applyAlignment="1">
      <alignment horizontal="center" vertical="center" wrapText="1"/>
    </xf>
    <xf numFmtId="180" fontId="75" fillId="35" borderId="0" xfId="9" applyNumberFormat="1" applyFont="1" applyFill="1" applyBorder="1" applyAlignment="1">
      <alignment horizontal="center" vertical="center" wrapText="1"/>
    </xf>
    <xf numFmtId="1" fontId="75" fillId="35" borderId="0" xfId="0" applyNumberFormat="1" applyFont="1" applyFill="1" applyAlignment="1">
      <alignment horizontal="left" vertical="center" wrapText="1"/>
    </xf>
    <xf numFmtId="0" fontId="74" fillId="0" borderId="0" xfId="0" applyFont="1" applyAlignment="1">
      <alignment vertical="center"/>
    </xf>
    <xf numFmtId="196" fontId="75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vertical="center" wrapText="1"/>
    </xf>
    <xf numFmtId="179" fontId="75" fillId="0" borderId="0" xfId="0" applyNumberFormat="1" applyFont="1" applyAlignment="1">
      <alignment horizontal="center" vertical="center" wrapText="1"/>
    </xf>
    <xf numFmtId="176" fontId="75" fillId="0" borderId="0" xfId="0" applyNumberFormat="1" applyFont="1" applyAlignment="1">
      <alignment horizontal="center" vertical="center" wrapText="1"/>
    </xf>
    <xf numFmtId="166" fontId="75" fillId="0" borderId="0" xfId="9" applyFont="1" applyFill="1" applyBorder="1" applyAlignment="1">
      <alignment horizontal="center" vertical="center" wrapText="1"/>
    </xf>
    <xf numFmtId="2" fontId="75" fillId="0" borderId="0" xfId="9" applyNumberFormat="1" applyFont="1" applyFill="1" applyBorder="1" applyAlignment="1">
      <alignment horizontal="center" vertical="center" wrapText="1"/>
    </xf>
    <xf numFmtId="180" fontId="75" fillId="0" borderId="0" xfId="9" applyNumberFormat="1" applyFont="1" applyFill="1" applyBorder="1" applyAlignment="1">
      <alignment horizontal="center" vertical="center" wrapText="1"/>
    </xf>
    <xf numFmtId="1" fontId="75" fillId="0" borderId="0" xfId="0" applyNumberFormat="1" applyFont="1" applyAlignment="1">
      <alignment horizontal="left" vertical="center" wrapText="1"/>
    </xf>
    <xf numFmtId="0" fontId="75" fillId="36" borderId="0" xfId="0" applyFont="1" applyFill="1" applyAlignment="1">
      <alignment horizontal="center" vertical="center" wrapText="1"/>
    </xf>
    <xf numFmtId="190" fontId="75" fillId="36" borderId="0" xfId="0" applyNumberFormat="1" applyFont="1" applyFill="1" applyAlignment="1">
      <alignment horizontal="center" vertical="center" wrapText="1"/>
    </xf>
    <xf numFmtId="2" fontId="75" fillId="36" borderId="0" xfId="0" applyNumberFormat="1" applyFont="1" applyFill="1" applyAlignment="1">
      <alignment vertical="center" wrapText="1"/>
    </xf>
    <xf numFmtId="0" fontId="52" fillId="0" borderId="36" xfId="0" applyFont="1" applyBorder="1" applyAlignment="1">
      <alignment horizontal="center" vertical="center"/>
    </xf>
    <xf numFmtId="190" fontId="52" fillId="0" borderId="36" xfId="0" applyNumberFormat="1" applyFont="1" applyBorder="1" applyAlignment="1">
      <alignment horizontal="center" vertical="center"/>
    </xf>
    <xf numFmtId="0" fontId="92" fillId="0" borderId="0" xfId="17" applyFont="1" applyAlignment="1">
      <alignment horizontal="left"/>
    </xf>
    <xf numFmtId="0" fontId="52" fillId="0" borderId="0" xfId="3322" applyFont="1" applyAlignment="1">
      <alignment vertical="center"/>
    </xf>
    <xf numFmtId="0" fontId="53" fillId="0" borderId="0" xfId="3322" applyFont="1" applyAlignment="1">
      <alignment horizontal="right" vertical="center"/>
    </xf>
    <xf numFmtId="0" fontId="53" fillId="0" borderId="0" xfId="3322" applyFont="1" applyAlignment="1">
      <alignment vertical="center"/>
    </xf>
    <xf numFmtId="49" fontId="56" fillId="0" borderId="0" xfId="17" applyNumberFormat="1" applyFont="1" applyAlignment="1">
      <alignment vertical="center"/>
    </xf>
    <xf numFmtId="0" fontId="52" fillId="0" borderId="0" xfId="18" applyFont="1" applyAlignment="1">
      <alignment vertical="center"/>
    </xf>
    <xf numFmtId="0" fontId="52" fillId="0" borderId="0" xfId="20" applyFont="1" applyAlignment="1" applyProtection="1">
      <alignment vertical="center"/>
      <protection hidden="1"/>
    </xf>
    <xf numFmtId="197" fontId="101" fillId="0" borderId="0" xfId="17" applyNumberFormat="1" applyFont="1" applyAlignment="1">
      <alignment vertical="center" wrapText="1"/>
    </xf>
    <xf numFmtId="0" fontId="52" fillId="0" borderId="0" xfId="3322" applyFont="1" applyAlignment="1">
      <alignment vertical="center" wrapText="1"/>
    </xf>
    <xf numFmtId="0" fontId="52" fillId="0" borderId="0" xfId="3322" applyFont="1" applyAlignment="1">
      <alignment horizontal="center" vertical="center" wrapText="1"/>
    </xf>
    <xf numFmtId="0" fontId="53" fillId="0" borderId="0" xfId="18" applyFont="1" applyAlignment="1">
      <alignment horizontal="center" vertical="center"/>
    </xf>
    <xf numFmtId="2" fontId="52" fillId="0" borderId="0" xfId="3322" applyNumberFormat="1" applyFont="1" applyAlignment="1">
      <alignment vertical="center"/>
    </xf>
    <xf numFmtId="2" fontId="52" fillId="0" borderId="0" xfId="20" applyNumberFormat="1" applyFont="1" applyAlignment="1" applyProtection="1">
      <alignment vertical="center"/>
      <protection hidden="1"/>
    </xf>
    <xf numFmtId="0" fontId="53" fillId="0" borderId="0" xfId="20" applyFont="1" applyAlignment="1" applyProtection="1">
      <alignment horizontal="center" vertical="center"/>
      <protection hidden="1"/>
    </xf>
    <xf numFmtId="2" fontId="53" fillId="0" borderId="0" xfId="18" applyNumberFormat="1" applyFont="1" applyAlignment="1">
      <alignment horizontal="center" vertical="center"/>
    </xf>
    <xf numFmtId="2" fontId="53" fillId="0" borderId="0" xfId="3322" applyNumberFormat="1" applyFont="1" applyAlignment="1">
      <alignment horizontal="center" vertical="center"/>
    </xf>
    <xf numFmtId="2" fontId="102" fillId="0" borderId="0" xfId="17" applyNumberFormat="1" applyFont="1" applyAlignment="1">
      <alignment horizontal="center" vertical="center"/>
    </xf>
    <xf numFmtId="15" fontId="56" fillId="0" borderId="0" xfId="17" applyNumberFormat="1" applyFont="1" applyAlignment="1">
      <alignment horizontal="left" vertical="center"/>
    </xf>
    <xf numFmtId="0" fontId="103" fillId="33" borderId="29" xfId="0" applyFont="1" applyFill="1" applyBorder="1" applyAlignment="1">
      <alignment vertical="center"/>
    </xf>
    <xf numFmtId="2" fontId="69" fillId="0" borderId="0" xfId="16" applyNumberFormat="1" applyFont="1" applyAlignment="1" applyProtection="1">
      <alignment vertical="center"/>
      <protection hidden="1"/>
    </xf>
    <xf numFmtId="0" fontId="101" fillId="0" borderId="0" xfId="0" applyFont="1" applyAlignment="1">
      <alignment horizontal="center" vertical="center"/>
    </xf>
    <xf numFmtId="0" fontId="101" fillId="32" borderId="6" xfId="0" applyFont="1" applyFill="1" applyBorder="1" applyAlignment="1">
      <alignment horizontal="center" vertical="center" wrapText="1"/>
    </xf>
    <xf numFmtId="2" fontId="69" fillId="0" borderId="0" xfId="16" applyNumberFormat="1" applyFont="1" applyAlignment="1" applyProtection="1">
      <alignment vertical="center" wrapText="1"/>
      <protection hidden="1"/>
    </xf>
    <xf numFmtId="0" fontId="53" fillId="0" borderId="0" xfId="20" applyFont="1" applyAlignment="1" applyProtection="1">
      <alignment horizontal="center" vertical="center" wrapText="1"/>
      <protection hidden="1"/>
    </xf>
    <xf numFmtId="0" fontId="101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2" fillId="32" borderId="6" xfId="2512" applyNumberFormat="1" applyFont="1" applyFill="1" applyBorder="1" applyAlignment="1" applyProtection="1">
      <alignment horizontal="center" vertical="center" wrapText="1"/>
      <protection hidden="1"/>
    </xf>
    <xf numFmtId="0" fontId="87" fillId="0" borderId="0" xfId="3322" applyFont="1" applyAlignment="1">
      <alignment vertical="center" wrapText="1"/>
    </xf>
    <xf numFmtId="0" fontId="104" fillId="0" borderId="0" xfId="20" applyFont="1" applyAlignment="1" applyProtection="1">
      <alignment vertical="center"/>
      <protection hidden="1"/>
    </xf>
    <xf numFmtId="0" fontId="105" fillId="0" borderId="0" xfId="0" applyFont="1" applyAlignment="1">
      <alignment horizontal="center" vertical="center"/>
    </xf>
    <xf numFmtId="0" fontId="104" fillId="0" borderId="0" xfId="3322" applyFont="1" applyAlignment="1">
      <alignment vertical="center"/>
    </xf>
    <xf numFmtId="0" fontId="67" fillId="0" borderId="0" xfId="0" applyFont="1" applyAlignment="1">
      <alignment horizontal="center" vertical="center"/>
    </xf>
    <xf numFmtId="0" fontId="106" fillId="31" borderId="0" xfId="0" applyFont="1" applyFill="1" applyAlignment="1">
      <alignment horizontal="center" vertical="center"/>
    </xf>
    <xf numFmtId="0" fontId="87" fillId="0" borderId="0" xfId="3322" applyFont="1" applyAlignment="1">
      <alignment vertical="center"/>
    </xf>
    <xf numFmtId="2" fontId="63" fillId="0" borderId="0" xfId="20" applyNumberFormat="1" applyFont="1" applyAlignment="1" applyProtection="1">
      <alignment horizontal="left" vertical="center"/>
      <protection hidden="1"/>
    </xf>
    <xf numFmtId="2" fontId="53" fillId="0" borderId="0" xfId="16" applyNumberFormat="1" applyFont="1" applyAlignment="1" applyProtection="1">
      <alignment horizontal="center" vertical="center"/>
      <protection hidden="1"/>
    </xf>
    <xf numFmtId="2" fontId="52" fillId="0" borderId="0" xfId="16" applyNumberFormat="1" applyFont="1" applyAlignment="1" applyProtection="1">
      <alignment vertical="center"/>
      <protection hidden="1"/>
    </xf>
    <xf numFmtId="0" fontId="53" fillId="0" borderId="0" xfId="20" applyFont="1" applyAlignment="1" applyProtection="1">
      <alignment horizontal="right" vertical="center"/>
      <protection hidden="1"/>
    </xf>
    <xf numFmtId="2" fontId="62" fillId="0" borderId="0" xfId="20" applyNumberFormat="1" applyFont="1" applyAlignment="1" applyProtection="1">
      <alignment horizontal="right" vertical="center"/>
      <protection hidden="1"/>
    </xf>
    <xf numFmtId="2" fontId="102" fillId="10" borderId="0" xfId="17" applyNumberFormat="1" applyFont="1" applyFill="1" applyAlignment="1">
      <alignment horizontal="center" vertical="center"/>
    </xf>
    <xf numFmtId="181" fontId="52" fillId="0" borderId="0" xfId="16" applyNumberFormat="1" applyFont="1" applyAlignment="1" applyProtection="1">
      <alignment vertical="center"/>
      <protection hidden="1"/>
    </xf>
    <xf numFmtId="2" fontId="76" fillId="0" borderId="0" xfId="20" applyNumberFormat="1" applyFont="1" applyAlignment="1" applyProtection="1">
      <alignment horizontal="right" vertical="center"/>
      <protection hidden="1"/>
    </xf>
    <xf numFmtId="2" fontId="83" fillId="0" borderId="0" xfId="16" applyNumberFormat="1" applyFont="1" applyAlignment="1" applyProtection="1">
      <alignment vertical="center"/>
      <protection hidden="1"/>
    </xf>
    <xf numFmtId="0" fontId="52" fillId="0" borderId="0" xfId="16" applyFont="1" applyAlignment="1" applyProtection="1">
      <alignment vertical="center"/>
      <protection hidden="1"/>
    </xf>
    <xf numFmtId="0" fontId="10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2" fontId="52" fillId="0" borderId="0" xfId="20" applyNumberFormat="1" applyFont="1" applyAlignment="1" applyProtection="1">
      <alignment horizontal="right" vertical="center"/>
      <protection hidden="1"/>
    </xf>
    <xf numFmtId="0" fontId="53" fillId="0" borderId="0" xfId="16" applyFont="1" applyAlignment="1" applyProtection="1">
      <alignment vertical="center"/>
      <protection hidden="1"/>
    </xf>
    <xf numFmtId="0" fontId="52" fillId="0" borderId="0" xfId="20" applyFont="1" applyAlignment="1" applyProtection="1">
      <alignment horizontal="right" vertical="center"/>
      <protection hidden="1"/>
    </xf>
    <xf numFmtId="181" fontId="62" fillId="0" borderId="0" xfId="0" applyNumberFormat="1" applyFont="1" applyAlignment="1">
      <alignment horizontal="center" vertical="center"/>
    </xf>
    <xf numFmtId="4" fontId="52" fillId="0" borderId="0" xfId="3" applyNumberFormat="1" applyFont="1" applyAlignment="1" applyProtection="1">
      <alignment horizontal="center" vertical="center"/>
      <protection locked="0"/>
    </xf>
    <xf numFmtId="0" fontId="52" fillId="0" borderId="0" xfId="3322" applyFont="1"/>
    <xf numFmtId="0" fontId="108" fillId="0" borderId="0" xfId="20" applyFont="1" applyAlignment="1" applyProtection="1">
      <alignment horizontal="right" vertical="center"/>
      <protection hidden="1"/>
    </xf>
    <xf numFmtId="4" fontId="83" fillId="0" borderId="0" xfId="3" applyNumberFormat="1" applyFont="1" applyAlignment="1" applyProtection="1">
      <alignment horizontal="center" vertical="center"/>
      <protection locked="0"/>
    </xf>
    <xf numFmtId="4" fontId="53" fillId="0" borderId="0" xfId="3" applyNumberFormat="1" applyFont="1" applyAlignment="1" applyProtection="1">
      <alignment horizontal="center" vertical="center"/>
      <protection hidden="1"/>
    </xf>
    <xf numFmtId="0" fontId="109" fillId="0" borderId="0" xfId="0" applyFont="1" applyAlignment="1">
      <alignment horizontal="center" vertical="center"/>
    </xf>
    <xf numFmtId="181" fontId="52" fillId="0" borderId="0" xfId="16" applyNumberFormat="1" applyFont="1" applyAlignment="1" applyProtection="1">
      <alignment horizontal="center" vertical="center"/>
      <protection hidden="1"/>
    </xf>
    <xf numFmtId="0" fontId="80" fillId="0" borderId="0" xfId="20" applyFont="1" applyAlignment="1" applyProtection="1">
      <alignment horizontal="right" vertical="center"/>
      <protection hidden="1"/>
    </xf>
    <xf numFmtId="4" fontId="80" fillId="0" borderId="0" xfId="3" applyNumberFormat="1" applyFont="1" applyAlignment="1" applyProtection="1">
      <alignment horizontal="center" vertical="center"/>
      <protection locked="0"/>
    </xf>
    <xf numFmtId="2" fontId="69" fillId="0" borderId="0" xfId="16" applyNumberFormat="1" applyFont="1" applyAlignment="1" applyProtection="1">
      <alignment horizontal="center" vertical="center"/>
      <protection hidden="1"/>
    </xf>
    <xf numFmtId="181" fontId="109" fillId="0" borderId="0" xfId="0" applyNumberFormat="1" applyFont="1" applyAlignment="1">
      <alignment horizontal="center" vertical="center"/>
    </xf>
    <xf numFmtId="2" fontId="52" fillId="0" borderId="0" xfId="16" applyNumberFormat="1" applyFont="1" applyAlignment="1" applyProtection="1">
      <alignment horizontal="center" vertical="center"/>
      <protection hidden="1"/>
    </xf>
    <xf numFmtId="181" fontId="107" fillId="0" borderId="0" xfId="0" applyNumberFormat="1" applyFont="1" applyAlignment="1">
      <alignment horizontal="center" vertical="center"/>
    </xf>
    <xf numFmtId="0" fontId="98" fillId="0" borderId="0" xfId="3322" applyFont="1" applyAlignment="1">
      <alignment horizontal="right" vertical="center"/>
    </xf>
    <xf numFmtId="0" fontId="83" fillId="0" borderId="0" xfId="20" applyFont="1" applyAlignment="1" applyProtection="1">
      <alignment horizontal="left" vertical="center"/>
      <protection hidden="1"/>
    </xf>
    <xf numFmtId="10" fontId="53" fillId="0" borderId="0" xfId="2512" applyNumberFormat="1" applyFont="1" applyAlignment="1" applyProtection="1">
      <alignment horizontal="right" vertical="center"/>
      <protection hidden="1"/>
    </xf>
    <xf numFmtId="181" fontId="53" fillId="0" borderId="0" xfId="2512" applyNumberFormat="1" applyFont="1" applyAlignment="1">
      <alignment vertical="center"/>
    </xf>
    <xf numFmtId="0" fontId="53" fillId="0" borderId="0" xfId="20" applyFont="1" applyAlignment="1" applyProtection="1">
      <alignment vertical="center"/>
      <protection hidden="1"/>
    </xf>
    <xf numFmtId="10" fontId="53" fillId="0" borderId="0" xfId="2512" applyNumberFormat="1" applyFont="1" applyAlignment="1">
      <alignment vertical="center"/>
    </xf>
    <xf numFmtId="0" fontId="63" fillId="0" borderId="0" xfId="20" applyFont="1" applyAlignment="1" applyProtection="1">
      <alignment horizontal="center" vertical="center"/>
      <protection hidden="1"/>
    </xf>
    <xf numFmtId="9" fontId="69" fillId="0" borderId="0" xfId="20" applyNumberFormat="1" applyFont="1" applyAlignment="1" applyProtection="1">
      <alignment vertical="center"/>
      <protection hidden="1"/>
    </xf>
    <xf numFmtId="10" fontId="107" fillId="0" borderId="0" xfId="2512" applyNumberFormat="1" applyFont="1" applyAlignment="1">
      <alignment horizontal="center" vertical="center"/>
    </xf>
    <xf numFmtId="0" fontId="53" fillId="0" borderId="0" xfId="20" applyFont="1" applyAlignment="1" applyProtection="1">
      <alignment horizontal="left" vertical="center"/>
      <protection hidden="1"/>
    </xf>
    <xf numFmtId="0" fontId="52" fillId="0" borderId="0" xfId="20" applyFont="1" applyAlignment="1" applyProtection="1">
      <alignment horizontal="left" vertical="center"/>
      <protection hidden="1"/>
    </xf>
    <xf numFmtId="1" fontId="53" fillId="0" borderId="0" xfId="20" applyNumberFormat="1" applyFont="1" applyAlignment="1" applyProtection="1">
      <alignment horizontal="left" vertical="center"/>
      <protection hidden="1"/>
    </xf>
    <xf numFmtId="1" fontId="52" fillId="0" borderId="0" xfId="20" applyNumberFormat="1" applyFont="1" applyAlignment="1" applyProtection="1">
      <alignment vertical="center"/>
      <protection hidden="1"/>
    </xf>
    <xf numFmtId="178" fontId="52" fillId="0" borderId="0" xfId="3322" applyNumberFormat="1" applyFont="1" applyAlignment="1">
      <alignment vertical="center"/>
    </xf>
    <xf numFmtId="178" fontId="52" fillId="0" borderId="0" xfId="20" applyNumberFormat="1" applyFont="1" applyAlignment="1" applyProtection="1">
      <alignment vertical="center"/>
      <protection hidden="1"/>
    </xf>
    <xf numFmtId="178" fontId="52" fillId="0" borderId="0" xfId="3322" applyNumberFormat="1" applyFont="1" applyAlignment="1">
      <alignment horizontal="center" vertical="center"/>
    </xf>
    <xf numFmtId="178" fontId="53" fillId="0" borderId="0" xfId="20" applyNumberFormat="1" applyFont="1" applyAlignment="1" applyProtection="1">
      <alignment horizontal="left" vertical="center"/>
      <protection hidden="1"/>
    </xf>
    <xf numFmtId="178" fontId="52" fillId="0" borderId="0" xfId="3322" applyNumberFormat="1" applyFont="1" applyAlignment="1">
      <alignment horizontal="left" vertical="center"/>
    </xf>
    <xf numFmtId="0" fontId="83" fillId="0" borderId="0" xfId="0" applyFont="1" applyAlignment="1">
      <alignment horizontal="center" vertical="center"/>
    </xf>
    <xf numFmtId="178" fontId="83" fillId="0" borderId="0" xfId="3322" applyNumberFormat="1" applyFont="1" applyAlignment="1">
      <alignment horizontal="left" vertical="center"/>
    </xf>
    <xf numFmtId="178" fontId="52" fillId="0" borderId="0" xfId="20" applyNumberFormat="1" applyFont="1" applyAlignment="1" applyProtection="1">
      <alignment horizontal="center" vertical="center"/>
      <protection hidden="1"/>
    </xf>
    <xf numFmtId="4" fontId="52" fillId="0" borderId="0" xfId="2512" applyNumberFormat="1" applyFont="1" applyAlignment="1" applyProtection="1">
      <alignment horizontal="center" vertical="center"/>
      <protection hidden="1"/>
    </xf>
    <xf numFmtId="0" fontId="52" fillId="0" borderId="0" xfId="3322" applyFont="1" applyAlignment="1">
      <alignment horizontal="center" vertical="center"/>
    </xf>
    <xf numFmtId="0" fontId="110" fillId="0" borderId="0" xfId="0" applyFont="1" applyAlignment="1">
      <alignment horizontal="center" vertical="center"/>
    </xf>
    <xf numFmtId="0" fontId="52" fillId="0" borderId="0" xfId="3322" applyFont="1" applyAlignment="1">
      <alignment horizontal="left" vertical="center"/>
    </xf>
    <xf numFmtId="4" fontId="53" fillId="0" borderId="0" xfId="4" applyNumberFormat="1" applyFont="1" applyAlignment="1" applyProtection="1">
      <alignment horizontal="center" vertical="center"/>
      <protection hidden="1"/>
    </xf>
    <xf numFmtId="10" fontId="52" fillId="0" borderId="0" xfId="2512" applyNumberFormat="1" applyFont="1" applyAlignment="1" applyProtection="1">
      <alignment vertical="center"/>
      <protection hidden="1"/>
    </xf>
    <xf numFmtId="0" fontId="52" fillId="0" borderId="0" xfId="3322" applyFont="1" applyAlignment="1">
      <alignment horizontal="right" vertical="center"/>
    </xf>
    <xf numFmtId="0" fontId="62" fillId="0" borderId="0" xfId="0" applyFont="1" applyAlignment="1">
      <alignment horizontal="left" vertical="center"/>
    </xf>
    <xf numFmtId="10" fontId="52" fillId="0" borderId="0" xfId="3322" applyNumberFormat="1" applyFont="1" applyAlignment="1">
      <alignment vertical="center"/>
    </xf>
    <xf numFmtId="0" fontId="53" fillId="0" borderId="0" xfId="3322" applyFont="1" applyAlignment="1">
      <alignment horizontal="left" vertical="center"/>
    </xf>
    <xf numFmtId="0" fontId="111" fillId="35" borderId="6" xfId="0" applyFont="1" applyFill="1" applyBorder="1" applyAlignment="1">
      <alignment horizontal="center" vertical="center" wrapText="1"/>
    </xf>
    <xf numFmtId="0" fontId="67" fillId="35" borderId="6" xfId="2512" applyNumberFormat="1" applyFont="1" applyFill="1" applyBorder="1" applyAlignment="1" applyProtection="1">
      <alignment horizontal="center" vertical="center" wrapText="1"/>
      <protection hidden="1"/>
    </xf>
    <xf numFmtId="0" fontId="53" fillId="0" borderId="0" xfId="20" applyFont="1" applyAlignment="1" applyProtection="1">
      <alignment horizontal="right" vertical="center" indent="1"/>
      <protection hidden="1"/>
    </xf>
    <xf numFmtId="0" fontId="52" fillId="0" borderId="33" xfId="3322" applyFont="1" applyBorder="1" applyAlignment="1">
      <alignment vertical="center"/>
    </xf>
    <xf numFmtId="0" fontId="109" fillId="0" borderId="33" xfId="0" applyFont="1" applyBorder="1" applyAlignment="1">
      <alignment horizontal="left" vertical="center"/>
    </xf>
    <xf numFmtId="0" fontId="101" fillId="0" borderId="33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/>
    </xf>
    <xf numFmtId="186" fontId="89" fillId="0" borderId="39" xfId="19" applyNumberFormat="1" applyFont="1" applyBorder="1" applyAlignment="1">
      <alignment horizontal="center" vertical="center"/>
    </xf>
    <xf numFmtId="0" fontId="89" fillId="0" borderId="39" xfId="19" applyFont="1" applyBorder="1" applyAlignment="1">
      <alignment horizontal="center" vertical="center"/>
    </xf>
    <xf numFmtId="181" fontId="66" fillId="0" borderId="39" xfId="19" applyNumberFormat="1" applyFont="1" applyBorder="1" applyAlignment="1" applyProtection="1">
      <alignment horizontal="center" vertical="center"/>
      <protection locked="0" hidden="1"/>
    </xf>
    <xf numFmtId="0" fontId="75" fillId="36" borderId="6" xfId="19" applyFont="1" applyFill="1" applyBorder="1" applyAlignment="1">
      <alignment horizontal="center" vertical="center"/>
    </xf>
    <xf numFmtId="0" fontId="114" fillId="35" borderId="6" xfId="19" applyFont="1" applyFill="1" applyBorder="1" applyAlignment="1">
      <alignment horizontal="center" vertical="center"/>
    </xf>
    <xf numFmtId="176" fontId="84" fillId="0" borderId="40" xfId="0" applyNumberFormat="1" applyFont="1" applyBorder="1" applyAlignment="1">
      <alignment horizontal="center" vertical="center"/>
    </xf>
    <xf numFmtId="3" fontId="84" fillId="0" borderId="40" xfId="0" applyNumberFormat="1" applyFont="1" applyBorder="1" applyAlignment="1">
      <alignment horizontal="center" vertical="center"/>
    </xf>
    <xf numFmtId="179" fontId="84" fillId="0" borderId="40" xfId="9" applyNumberFormat="1" applyFont="1" applyFill="1" applyBorder="1" applyAlignment="1">
      <alignment horizontal="center" vertical="center"/>
    </xf>
    <xf numFmtId="179" fontId="84" fillId="0" borderId="40" xfId="9" applyNumberFormat="1" applyFont="1" applyFill="1" applyBorder="1" applyAlignment="1">
      <alignment horizontal="right" vertical="center"/>
    </xf>
    <xf numFmtId="10" fontId="84" fillId="0" borderId="40" xfId="0" applyNumberFormat="1" applyFont="1" applyBorder="1" applyAlignment="1">
      <alignment horizontal="center" vertical="center"/>
    </xf>
    <xf numFmtId="173" fontId="84" fillId="0" borderId="40" xfId="0" applyNumberFormat="1" applyFont="1" applyBorder="1" applyAlignment="1">
      <alignment horizontal="left" vertical="center" wrapText="1"/>
    </xf>
    <xf numFmtId="179" fontId="86" fillId="10" borderId="28" xfId="0" applyNumberFormat="1" applyFont="1" applyFill="1" applyBorder="1" applyAlignment="1">
      <alignment horizontal="center" vertical="center"/>
    </xf>
    <xf numFmtId="179" fontId="53" fillId="0" borderId="0" xfId="9" applyNumberFormat="1" applyFont="1" applyFill="1" applyAlignment="1">
      <alignment horizontal="center"/>
    </xf>
    <xf numFmtId="0" fontId="84" fillId="34" borderId="0" xfId="3322" applyFont="1" applyFill="1" applyAlignment="1">
      <alignment vertical="center"/>
    </xf>
    <xf numFmtId="0" fontId="116" fillId="34" borderId="0" xfId="0" applyFont="1" applyFill="1" applyAlignment="1">
      <alignment horizontal="center" vertical="center"/>
    </xf>
    <xf numFmtId="0" fontId="115" fillId="34" borderId="0" xfId="0" applyFont="1" applyFill="1" applyAlignment="1">
      <alignment horizontal="right" vertical="center"/>
    </xf>
    <xf numFmtId="0" fontId="115" fillId="34" borderId="0" xfId="0" applyFont="1" applyFill="1" applyAlignment="1">
      <alignment horizontal="center" vertical="center" wrapText="1"/>
    </xf>
    <xf numFmtId="0" fontId="84" fillId="34" borderId="0" xfId="0" applyFont="1" applyFill="1" applyAlignment="1">
      <alignment horizontal="center" vertical="center"/>
    </xf>
    <xf numFmtId="2" fontId="84" fillId="34" borderId="0" xfId="0" applyNumberFormat="1" applyFont="1" applyFill="1" applyAlignment="1">
      <alignment horizontal="right" vertical="center"/>
    </xf>
    <xf numFmtId="2" fontId="84" fillId="34" borderId="0" xfId="0" applyNumberFormat="1" applyFont="1" applyFill="1" applyAlignment="1">
      <alignment horizontal="center" vertical="center"/>
    </xf>
    <xf numFmtId="195" fontId="84" fillId="34" borderId="0" xfId="0" applyNumberFormat="1" applyFont="1" applyFill="1" applyAlignment="1">
      <alignment horizontal="center" vertical="center"/>
    </xf>
    <xf numFmtId="2" fontId="84" fillId="34" borderId="0" xfId="16" applyNumberFormat="1" applyFont="1" applyFill="1" applyAlignment="1" applyProtection="1">
      <alignment vertical="center"/>
      <protection hidden="1"/>
    </xf>
    <xf numFmtId="0" fontId="84" fillId="34" borderId="0" xfId="20" applyFont="1" applyFill="1" applyAlignment="1" applyProtection="1">
      <alignment vertical="center"/>
      <protection hidden="1"/>
    </xf>
    <xf numFmtId="0" fontId="84" fillId="34" borderId="0" xfId="3322" applyFont="1" applyFill="1" applyAlignment="1">
      <alignment horizontal="center" vertical="center"/>
    </xf>
    <xf numFmtId="2" fontId="84" fillId="34" borderId="37" xfId="0" applyNumberFormat="1" applyFont="1" applyFill="1" applyBorder="1" applyAlignment="1">
      <alignment horizontal="center" vertical="center"/>
    </xf>
    <xf numFmtId="195" fontId="84" fillId="34" borderId="37" xfId="0" applyNumberFormat="1" applyFont="1" applyFill="1" applyBorder="1" applyAlignment="1">
      <alignment horizontal="center" vertical="center"/>
    </xf>
    <xf numFmtId="0" fontId="86" fillId="34" borderId="0" xfId="0" applyFont="1" applyFill="1" applyAlignment="1">
      <alignment horizontal="center" vertical="center"/>
    </xf>
    <xf numFmtId="0" fontId="86" fillId="34" borderId="0" xfId="0" applyFont="1" applyFill="1" applyAlignment="1">
      <alignment horizontal="right" vertical="center"/>
    </xf>
    <xf numFmtId="195" fontId="86" fillId="34" borderId="0" xfId="0" applyNumberFormat="1" applyFont="1" applyFill="1" applyAlignment="1">
      <alignment horizontal="center" vertical="center"/>
    </xf>
    <xf numFmtId="10" fontId="52" fillId="39" borderId="6" xfId="22" applyNumberFormat="1" applyFont="1" applyFill="1" applyBorder="1" applyAlignment="1" applyProtection="1">
      <alignment horizontal="center" vertical="center"/>
      <protection hidden="1"/>
    </xf>
    <xf numFmtId="2" fontId="52" fillId="39" borderId="34" xfId="22" applyNumberFormat="1" applyFont="1" applyFill="1" applyBorder="1" applyAlignment="1" applyProtection="1">
      <alignment horizontal="center" vertical="center"/>
      <protection hidden="1"/>
    </xf>
    <xf numFmtId="195" fontId="52" fillId="39" borderId="34" xfId="22" applyNumberFormat="1" applyFont="1" applyFill="1" applyBorder="1" applyAlignment="1" applyProtection="1">
      <alignment horizontal="center" vertical="center"/>
      <protection hidden="1"/>
    </xf>
    <xf numFmtId="2" fontId="84" fillId="41" borderId="0" xfId="17" applyNumberFormat="1" applyFont="1" applyFill="1" applyAlignment="1">
      <alignment horizontal="left" vertical="center" wrapText="1" indent="1"/>
    </xf>
    <xf numFmtId="2" fontId="84" fillId="39" borderId="30" xfId="0" applyNumberFormat="1" applyFont="1" applyFill="1" applyBorder="1" applyAlignment="1">
      <alignment horizontal="center" vertical="center"/>
    </xf>
    <xf numFmtId="2" fontId="52" fillId="39" borderId="34" xfId="2512" applyNumberFormat="1" applyFont="1" applyFill="1" applyBorder="1" applyAlignment="1" applyProtection="1">
      <alignment horizontal="center" vertical="center"/>
      <protection hidden="1"/>
    </xf>
    <xf numFmtId="181" fontId="67" fillId="39" borderId="34" xfId="2512" applyNumberFormat="1" applyFont="1" applyFill="1" applyBorder="1" applyAlignment="1" applyProtection="1">
      <alignment horizontal="center" vertical="center"/>
      <protection hidden="1"/>
    </xf>
    <xf numFmtId="181" fontId="52" fillId="39" borderId="34" xfId="2512" applyNumberFormat="1" applyFont="1" applyFill="1" applyBorder="1" applyAlignment="1" applyProtection="1">
      <alignment horizontal="center" vertical="center"/>
      <protection hidden="1"/>
    </xf>
    <xf numFmtId="181" fontId="77" fillId="37" borderId="6" xfId="2512" applyNumberFormat="1" applyFont="1" applyFill="1" applyBorder="1" applyAlignment="1" applyProtection="1">
      <alignment horizontal="center" vertical="center"/>
      <protection hidden="1"/>
    </xf>
    <xf numFmtId="4" fontId="86" fillId="37" borderId="0" xfId="3" applyNumberFormat="1" applyFont="1" applyFill="1" applyAlignment="1" applyProtection="1">
      <alignment horizontal="center" vertical="center"/>
      <protection hidden="1"/>
    </xf>
    <xf numFmtId="181" fontId="84" fillId="37" borderId="34" xfId="2512" applyNumberFormat="1" applyFont="1" applyFill="1" applyBorder="1" applyAlignment="1" applyProtection="1">
      <alignment horizontal="center" vertical="center"/>
      <protection hidden="1"/>
    </xf>
    <xf numFmtId="181" fontId="86" fillId="37" borderId="0" xfId="2512" applyNumberFormat="1" applyFont="1" applyFill="1" applyAlignment="1" applyProtection="1">
      <alignment horizontal="center" vertical="center"/>
      <protection hidden="1"/>
    </xf>
    <xf numFmtId="181" fontId="117" fillId="37" borderId="6" xfId="2512" applyNumberFormat="1" applyFont="1" applyFill="1" applyBorder="1" applyAlignment="1" applyProtection="1">
      <alignment horizontal="center" vertical="center"/>
      <protection hidden="1"/>
    </xf>
    <xf numFmtId="177" fontId="113" fillId="39" borderId="6" xfId="22" applyNumberFormat="1" applyFont="1" applyFill="1" applyBorder="1" applyAlignment="1" applyProtection="1">
      <alignment horizontal="center" vertical="center"/>
      <protection hidden="1"/>
    </xf>
    <xf numFmtId="0" fontId="93" fillId="42" borderId="0" xfId="0" applyFont="1" applyFill="1" applyAlignment="1">
      <alignment vertical="center"/>
    </xf>
    <xf numFmtId="0" fontId="82" fillId="42" borderId="0" xfId="0" applyFont="1" applyFill="1" applyAlignment="1">
      <alignment horizontal="center" vertical="center"/>
    </xf>
    <xf numFmtId="0" fontId="85" fillId="42" borderId="0" xfId="0" applyFont="1" applyFill="1" applyAlignment="1">
      <alignment vertical="center"/>
    </xf>
    <xf numFmtId="0" fontId="95" fillId="42" borderId="0" xfId="0" applyFont="1" applyFill="1" applyAlignment="1">
      <alignment vertical="center"/>
    </xf>
    <xf numFmtId="176" fontId="72" fillId="0" borderId="0" xfId="0" applyNumberFormat="1" applyFont="1" applyAlignment="1">
      <alignment horizontal="center"/>
    </xf>
    <xf numFmtId="1" fontId="52" fillId="39" borderId="34" xfId="2512" applyNumberFormat="1" applyFont="1" applyFill="1" applyBorder="1" applyAlignment="1" applyProtection="1">
      <alignment horizontal="center" vertical="center"/>
      <protection hidden="1"/>
    </xf>
    <xf numFmtId="0" fontId="84" fillId="0" borderId="0" xfId="0" applyFont="1" applyAlignment="1">
      <alignment vertical="center"/>
    </xf>
    <xf numFmtId="196" fontId="84" fillId="40" borderId="30" xfId="0" applyNumberFormat="1" applyFont="1" applyFill="1" applyBorder="1" applyAlignment="1">
      <alignment horizontal="center" vertical="center"/>
    </xf>
    <xf numFmtId="179" fontId="53" fillId="0" borderId="0" xfId="0" quotePrefix="1" applyNumberFormat="1" applyFont="1" applyAlignment="1">
      <alignment horizontal="left"/>
    </xf>
    <xf numFmtId="0" fontId="52" fillId="0" borderId="0" xfId="17" applyFont="1" applyAlignment="1">
      <alignment horizontal="center" vertical="center"/>
    </xf>
    <xf numFmtId="0" fontId="52" fillId="0" borderId="33" xfId="17" applyFont="1" applyBorder="1" applyAlignment="1">
      <alignment horizontal="center" vertical="center"/>
    </xf>
    <xf numFmtId="195" fontId="52" fillId="0" borderId="0" xfId="24" applyNumberFormat="1" applyFont="1" applyAlignment="1">
      <alignment horizontal="center"/>
    </xf>
    <xf numFmtId="195" fontId="84" fillId="0" borderId="0" xfId="0" applyNumberFormat="1" applyFont="1" applyAlignment="1">
      <alignment horizontal="center"/>
    </xf>
    <xf numFmtId="195" fontId="61" fillId="0" borderId="0" xfId="17" applyNumberFormat="1" applyFont="1" applyAlignment="1">
      <alignment horizontal="center"/>
    </xf>
    <xf numFmtId="49" fontId="52" fillId="0" borderId="0" xfId="17" applyNumberFormat="1" applyFont="1" applyAlignment="1">
      <alignment horizontal="center" vertical="center"/>
    </xf>
    <xf numFmtId="49" fontId="52" fillId="0" borderId="33" xfId="17" applyNumberFormat="1" applyFont="1" applyBorder="1" applyAlignment="1">
      <alignment horizontal="center" vertical="center"/>
    </xf>
    <xf numFmtId="2" fontId="75" fillId="36" borderId="0" xfId="0" applyNumberFormat="1" applyFont="1" applyFill="1" applyAlignment="1">
      <alignment horizontal="center" vertical="center" wrapText="1"/>
    </xf>
    <xf numFmtId="181" fontId="84" fillId="43" borderId="41" xfId="0" applyNumberFormat="1" applyFont="1" applyFill="1" applyBorder="1" applyAlignment="1" applyProtection="1">
      <alignment horizontal="center" vertical="center"/>
      <protection hidden="1"/>
    </xf>
    <xf numFmtId="183" fontId="84" fillId="44" borderId="0" xfId="20" applyNumberFormat="1" applyFont="1" applyFill="1" applyAlignment="1" applyProtection="1">
      <alignment horizontal="center" vertical="center"/>
      <protection hidden="1"/>
    </xf>
    <xf numFmtId="181" fontId="84" fillId="44" borderId="38" xfId="2512" applyNumberFormat="1" applyFont="1" applyFill="1" applyBorder="1" applyAlignment="1" applyProtection="1">
      <alignment horizontal="center" vertical="center"/>
      <protection hidden="1"/>
    </xf>
    <xf numFmtId="181" fontId="52" fillId="39" borderId="42" xfId="2512" applyNumberFormat="1" applyFont="1" applyFill="1" applyBorder="1" applyAlignment="1" applyProtection="1">
      <alignment horizontal="center" vertical="center"/>
      <protection hidden="1"/>
    </xf>
    <xf numFmtId="195" fontId="52" fillId="39" borderId="42" xfId="2512" applyNumberFormat="1" applyFont="1" applyFill="1" applyBorder="1" applyAlignment="1" applyProtection="1">
      <alignment horizontal="center" vertical="center"/>
      <protection hidden="1"/>
    </xf>
    <xf numFmtId="181" fontId="84" fillId="43" borderId="43" xfId="0" applyNumberFormat="1" applyFont="1" applyFill="1" applyBorder="1" applyAlignment="1" applyProtection="1">
      <alignment horizontal="center" vertical="center"/>
      <protection hidden="1"/>
    </xf>
    <xf numFmtId="183" fontId="84" fillId="44" borderId="28" xfId="20" applyNumberFormat="1" applyFont="1" applyFill="1" applyBorder="1" applyAlignment="1" applyProtection="1">
      <alignment horizontal="center" vertical="center"/>
      <protection hidden="1"/>
    </xf>
    <xf numFmtId="181" fontId="52" fillId="39" borderId="0" xfId="2512" applyNumberFormat="1" applyFont="1" applyFill="1" applyBorder="1" applyAlignment="1" applyProtection="1">
      <alignment horizontal="center" vertical="center"/>
      <protection hidden="1"/>
    </xf>
    <xf numFmtId="181" fontId="86" fillId="38" borderId="43" xfId="0" applyNumberFormat="1" applyFont="1" applyFill="1" applyBorder="1" applyAlignment="1" applyProtection="1">
      <alignment horizontal="center" vertical="center"/>
      <protection hidden="1"/>
    </xf>
    <xf numFmtId="0" fontId="83" fillId="0" borderId="0" xfId="20" quotePrefix="1" applyFont="1" applyAlignment="1" applyProtection="1">
      <alignment horizontal="left" vertical="center"/>
      <protection hidden="1"/>
    </xf>
    <xf numFmtId="1" fontId="52" fillId="39" borderId="44" xfId="2512" applyNumberFormat="1" applyFont="1" applyFill="1" applyBorder="1" applyAlignment="1" applyProtection="1">
      <alignment horizontal="center" vertical="center"/>
      <protection hidden="1"/>
    </xf>
    <xf numFmtId="178" fontId="52" fillId="0" borderId="45" xfId="3322" applyNumberFormat="1" applyFont="1" applyBorder="1" applyAlignment="1">
      <alignment horizontal="center" vertical="center"/>
    </xf>
    <xf numFmtId="3" fontId="118" fillId="0" borderId="0" xfId="0" applyNumberFormat="1" applyFont="1" applyAlignment="1">
      <alignment horizontal="center" vertical="center"/>
    </xf>
    <xf numFmtId="2" fontId="84" fillId="0" borderId="40" xfId="0" applyNumberFormat="1" applyFont="1" applyBorder="1" applyAlignment="1">
      <alignment vertical="center"/>
    </xf>
    <xf numFmtId="0" fontId="84" fillId="0" borderId="40" xfId="0" applyFont="1" applyBorder="1" applyAlignment="1">
      <alignment horizontal="center" vertical="center" wrapText="1"/>
    </xf>
    <xf numFmtId="174" fontId="84" fillId="0" borderId="40" xfId="0" applyNumberFormat="1" applyFont="1" applyBorder="1" applyAlignment="1">
      <alignment horizontal="center" vertical="center"/>
    </xf>
    <xf numFmtId="1" fontId="84" fillId="0" borderId="40" xfId="0" applyNumberFormat="1" applyFont="1" applyBorder="1" applyAlignment="1">
      <alignment horizontal="center" vertical="center"/>
    </xf>
    <xf numFmtId="0" fontId="119" fillId="42" borderId="0" xfId="0" applyFont="1" applyFill="1" applyAlignment="1">
      <alignment horizontal="center" vertical="center"/>
    </xf>
    <xf numFmtId="0" fontId="119" fillId="42" borderId="0" xfId="0" applyFont="1" applyFill="1" applyAlignment="1">
      <alignment vertical="center"/>
    </xf>
    <xf numFmtId="0" fontId="120" fillId="42" borderId="0" xfId="0" applyFont="1" applyFill="1" applyAlignment="1">
      <alignment vertical="center"/>
    </xf>
    <xf numFmtId="0" fontId="120" fillId="0" borderId="0" xfId="0" applyFont="1" applyAlignment="1">
      <alignment vertical="center"/>
    </xf>
    <xf numFmtId="174" fontId="84" fillId="39" borderId="35" xfId="0" applyNumberFormat="1" applyFont="1" applyFill="1" applyBorder="1" applyAlignment="1">
      <alignment horizontal="center" vertical="center"/>
    </xf>
    <xf numFmtId="179" fontId="62" fillId="0" borderId="0" xfId="0" applyNumberFormat="1" applyFont="1" applyAlignment="1">
      <alignment vertical="center"/>
    </xf>
    <xf numFmtId="0" fontId="84" fillId="0" borderId="30" xfId="0" applyFont="1" applyBorder="1" applyAlignment="1">
      <alignment vertical="center"/>
    </xf>
    <xf numFmtId="0" fontId="84" fillId="0" borderId="46" xfId="9" applyNumberFormat="1" applyFont="1" applyFill="1" applyBorder="1" applyAlignment="1">
      <alignment vertical="center"/>
    </xf>
    <xf numFmtId="0" fontId="84" fillId="0" borderId="46" xfId="0" applyFont="1" applyBorder="1" applyAlignment="1">
      <alignment vertical="center"/>
    </xf>
    <xf numFmtId="196" fontId="84" fillId="0" borderId="46" xfId="0" applyNumberFormat="1" applyFont="1" applyBorder="1" applyAlignment="1">
      <alignment horizontal="center" vertical="center"/>
    </xf>
    <xf numFmtId="198" fontId="84" fillId="0" borderId="46" xfId="0" applyNumberFormat="1" applyFont="1" applyBorder="1" applyAlignment="1">
      <alignment horizontal="center" vertical="center"/>
    </xf>
    <xf numFmtId="198" fontId="84" fillId="0" borderId="46" xfId="9" applyNumberFormat="1" applyFont="1" applyFill="1" applyBorder="1" applyAlignment="1">
      <alignment vertical="center"/>
    </xf>
    <xf numFmtId="198" fontId="84" fillId="0" borderId="46" xfId="0" applyNumberFormat="1" applyFont="1" applyBorder="1" applyAlignment="1">
      <alignment vertical="center"/>
    </xf>
    <xf numFmtId="174" fontId="52" fillId="0" borderId="40" xfId="0" applyNumberFormat="1" applyFont="1" applyBorder="1" applyAlignment="1">
      <alignment horizontal="center" vertical="center"/>
    </xf>
    <xf numFmtId="1" fontId="52" fillId="0" borderId="40" xfId="0" applyNumberFormat="1" applyFont="1" applyBorder="1" applyAlignment="1">
      <alignment horizontal="center" vertical="center"/>
    </xf>
    <xf numFmtId="2" fontId="72" fillId="10" borderId="47" xfId="22" applyNumberFormat="1" applyFont="1" applyFill="1" applyBorder="1" applyAlignment="1" applyProtection="1">
      <alignment horizontal="center" vertical="center"/>
      <protection hidden="1"/>
    </xf>
    <xf numFmtId="0" fontId="84" fillId="40" borderId="30" xfId="0" applyFont="1" applyFill="1" applyBorder="1" applyAlignment="1">
      <alignment horizontal="center" vertical="center"/>
    </xf>
    <xf numFmtId="0" fontId="84" fillId="40" borderId="46" xfId="0" applyFont="1" applyFill="1" applyBorder="1" applyAlignment="1">
      <alignment vertical="center"/>
    </xf>
    <xf numFmtId="196" fontId="84" fillId="40" borderId="46" xfId="0" applyNumberFormat="1" applyFont="1" applyFill="1" applyBorder="1" applyAlignment="1">
      <alignment horizontal="center" vertical="center"/>
    </xf>
    <xf numFmtId="0" fontId="84" fillId="40" borderId="46" xfId="9" applyNumberFormat="1" applyFont="1" applyFill="1" applyBorder="1" applyAlignment="1">
      <alignment vertical="center"/>
    </xf>
    <xf numFmtId="10" fontId="113" fillId="39" borderId="6" xfId="22" applyNumberFormat="1" applyFont="1" applyFill="1" applyBorder="1" applyAlignment="1" applyProtection="1">
      <alignment horizontal="center" vertical="center"/>
      <protection hidden="1"/>
    </xf>
    <xf numFmtId="178" fontId="52" fillId="39" borderId="34" xfId="2512" applyNumberFormat="1" applyFont="1" applyFill="1" applyBorder="1" applyAlignment="1" applyProtection="1">
      <alignment horizontal="center" vertical="center"/>
      <protection hidden="1"/>
    </xf>
    <xf numFmtId="176" fontId="84" fillId="45" borderId="40" xfId="0" applyNumberFormat="1" applyFont="1" applyFill="1" applyBorder="1" applyAlignment="1">
      <alignment horizontal="center" vertical="center"/>
    </xf>
    <xf numFmtId="174" fontId="52" fillId="45" borderId="40" xfId="0" applyNumberFormat="1" applyFont="1" applyFill="1" applyBorder="1" applyAlignment="1">
      <alignment horizontal="center" vertical="center"/>
    </xf>
    <xf numFmtId="1" fontId="52" fillId="45" borderId="40" xfId="0" applyNumberFormat="1" applyFont="1" applyFill="1" applyBorder="1" applyAlignment="1">
      <alignment horizontal="center" vertical="center"/>
    </xf>
    <xf numFmtId="2" fontId="84" fillId="45" borderId="40" xfId="0" applyNumberFormat="1" applyFont="1" applyFill="1" applyBorder="1" applyAlignment="1">
      <alignment vertical="center"/>
    </xf>
    <xf numFmtId="0" fontId="84" fillId="45" borderId="40" xfId="0" applyFont="1" applyFill="1" applyBorder="1" applyAlignment="1">
      <alignment horizontal="center" vertical="center" wrapText="1"/>
    </xf>
    <xf numFmtId="174" fontId="84" fillId="45" borderId="40" xfId="0" applyNumberFormat="1" applyFont="1" applyFill="1" applyBorder="1" applyAlignment="1">
      <alignment horizontal="center" vertical="center"/>
    </xf>
    <xf numFmtId="1" fontId="84" fillId="45" borderId="40" xfId="0" applyNumberFormat="1" applyFont="1" applyFill="1" applyBorder="1" applyAlignment="1">
      <alignment horizontal="center" vertical="center"/>
    </xf>
    <xf numFmtId="0" fontId="121" fillId="0" borderId="13" xfId="0" applyFont="1" applyBorder="1"/>
    <xf numFmtId="0" fontId="121" fillId="0" borderId="0" xfId="0" applyFont="1" applyAlignment="1">
      <alignment horizontal="left"/>
    </xf>
    <xf numFmtId="0" fontId="121" fillId="0" borderId="0" xfId="0" applyFont="1"/>
    <xf numFmtId="0" fontId="121" fillId="0" borderId="0" xfId="0" applyFont="1" applyAlignment="1">
      <alignment vertical="center"/>
    </xf>
    <xf numFmtId="15" fontId="59" fillId="0" borderId="0" xfId="17" applyNumberFormat="1" applyFont="1"/>
    <xf numFmtId="15" fontId="56" fillId="0" borderId="0" xfId="17" applyNumberFormat="1" applyFont="1"/>
    <xf numFmtId="0" fontId="122" fillId="0" borderId="0" xfId="0" applyFont="1" applyAlignment="1">
      <alignment horizontal="center"/>
    </xf>
    <xf numFmtId="0" fontId="123" fillId="0" borderId="0" xfId="0" applyFont="1"/>
    <xf numFmtId="0" fontId="122" fillId="0" borderId="0" xfId="0" quotePrefix="1" applyFont="1" applyAlignment="1">
      <alignment horizontal="center"/>
    </xf>
    <xf numFmtId="0" fontId="124" fillId="0" borderId="0" xfId="0" applyFont="1" applyAlignment="1">
      <alignment horizontal="right"/>
    </xf>
    <xf numFmtId="15" fontId="125" fillId="0" borderId="0" xfId="0" applyNumberFormat="1" applyFont="1" applyAlignment="1">
      <alignment horizontal="left"/>
    </xf>
    <xf numFmtId="0" fontId="125" fillId="0" borderId="0" xfId="0" applyFont="1" applyAlignment="1">
      <alignment horizontal="left"/>
    </xf>
    <xf numFmtId="1" fontId="125" fillId="0" borderId="0" xfId="0" applyNumberFormat="1" applyFont="1" applyAlignment="1">
      <alignment horizontal="left"/>
    </xf>
    <xf numFmtId="0" fontId="124" fillId="0" borderId="0" xfId="0" applyFont="1" applyAlignment="1">
      <alignment horizontal="right" vertical="center"/>
    </xf>
    <xf numFmtId="0" fontId="126" fillId="0" borderId="0" xfId="0" applyFont="1"/>
    <xf numFmtId="0" fontId="122" fillId="9" borderId="0" xfId="0" applyFont="1" applyFill="1" applyAlignment="1" applyProtection="1">
      <alignment horizontal="center"/>
      <protection locked="0"/>
    </xf>
    <xf numFmtId="2" fontId="52" fillId="0" borderId="45" xfId="2" applyNumberFormat="1" applyFont="1" applyFill="1" applyBorder="1" applyAlignment="1">
      <alignment horizontal="center" vertical="center"/>
    </xf>
    <xf numFmtId="4" fontId="52" fillId="0" borderId="45" xfId="2" applyNumberFormat="1" applyFont="1" applyFill="1" applyBorder="1" applyAlignment="1">
      <alignment horizontal="center" vertical="center"/>
    </xf>
    <xf numFmtId="182" fontId="52" fillId="0" borderId="45" xfId="5" applyNumberFormat="1" applyFont="1" applyFill="1" applyBorder="1" applyAlignment="1">
      <alignment horizontal="right" vertical="center"/>
    </xf>
    <xf numFmtId="0" fontId="112" fillId="0" borderId="0" xfId="0" applyFont="1" applyAlignment="1">
      <alignment horizontal="center" vertical="center"/>
    </xf>
    <xf numFmtId="0" fontId="103" fillId="33" borderId="27" xfId="0" applyFont="1" applyFill="1" applyBorder="1" applyAlignment="1">
      <alignment horizontal="center" vertical="center"/>
    </xf>
    <xf numFmtId="0" fontId="103" fillId="33" borderId="29" xfId="0" applyFont="1" applyFill="1" applyBorder="1" applyAlignment="1">
      <alignment horizontal="center" vertical="center"/>
    </xf>
  </cellXfs>
  <cellStyles count="3327">
    <cellStyle name="20% - Accent1 2" xfId="2513" xr:uid="{00000000-0005-0000-0000-000000000000}"/>
    <cellStyle name="20% - Accent2 2" xfId="2514" xr:uid="{00000000-0005-0000-0000-000001000000}"/>
    <cellStyle name="20% - Accent3 2" xfId="2515" xr:uid="{00000000-0005-0000-0000-000002000000}"/>
    <cellStyle name="20% - Accent4 2" xfId="2516" xr:uid="{00000000-0005-0000-0000-000003000000}"/>
    <cellStyle name="20% - Accent5 2" xfId="2517" xr:uid="{00000000-0005-0000-0000-000004000000}"/>
    <cellStyle name="20% - Accent6 2" xfId="2518" xr:uid="{00000000-0005-0000-0000-000005000000}"/>
    <cellStyle name="40% - Accent1 2" xfId="2519" xr:uid="{00000000-0005-0000-0000-000006000000}"/>
    <cellStyle name="40% - Accent2 2" xfId="2520" xr:uid="{00000000-0005-0000-0000-000007000000}"/>
    <cellStyle name="40% - Accent3 2" xfId="2521" xr:uid="{00000000-0005-0000-0000-000008000000}"/>
    <cellStyle name="40% - Accent4 2" xfId="2522" xr:uid="{00000000-0005-0000-0000-000009000000}"/>
    <cellStyle name="40% - Accent5 2" xfId="2523" xr:uid="{00000000-0005-0000-0000-00000A000000}"/>
    <cellStyle name="40% - Accent6 2" xfId="2524" xr:uid="{00000000-0005-0000-0000-00000B000000}"/>
    <cellStyle name="60% - Accent1 2" xfId="2525" xr:uid="{00000000-0005-0000-0000-00000C000000}"/>
    <cellStyle name="60% - Accent2 2" xfId="2526" xr:uid="{00000000-0005-0000-0000-00000D000000}"/>
    <cellStyle name="60% - Accent3 2" xfId="2527" xr:uid="{00000000-0005-0000-0000-00000E000000}"/>
    <cellStyle name="60% - Accent4 2" xfId="2528" xr:uid="{00000000-0005-0000-0000-00000F000000}"/>
    <cellStyle name="60% - Accent5 2" xfId="2529" xr:uid="{00000000-0005-0000-0000-000010000000}"/>
    <cellStyle name="60% - Accent6 2" xfId="2530" xr:uid="{00000000-0005-0000-0000-000011000000}"/>
    <cellStyle name="Accent1 2" xfId="2531" xr:uid="{00000000-0005-0000-0000-000012000000}"/>
    <cellStyle name="Accent2 2" xfId="2532" xr:uid="{00000000-0005-0000-0000-000013000000}"/>
    <cellStyle name="Accent3 2" xfId="2533" xr:uid="{00000000-0005-0000-0000-000014000000}"/>
    <cellStyle name="Accent4 2" xfId="2534" xr:uid="{00000000-0005-0000-0000-000015000000}"/>
    <cellStyle name="Accent5 2" xfId="2535" xr:uid="{00000000-0005-0000-0000-000016000000}"/>
    <cellStyle name="Accent6 2" xfId="2536" xr:uid="{00000000-0005-0000-0000-000017000000}"/>
    <cellStyle name="Bad" xfId="2537" xr:uid="{00000000-0005-0000-0000-000018000000}"/>
    <cellStyle name="Berekening" xfId="1" xr:uid="{00000000-0005-0000-0000-000019000000}"/>
    <cellStyle name="Berekening 2" xfId="2538" xr:uid="{00000000-0005-0000-0000-00001A000000}"/>
    <cellStyle name="Calculation" xfId="2539" xr:uid="{00000000-0005-0000-0000-00001B000000}"/>
    <cellStyle name="Check Cell" xfId="2540" xr:uid="{00000000-0005-0000-0000-00001C000000}"/>
    <cellStyle name="Comma [0]" xfId="2541" xr:uid="{00000000-0005-0000-0000-00001D000000}"/>
    <cellStyle name="Comma_AA BCR/ Basis ruimtestaat 13.0" xfId="2542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3" xr:uid="{00000000-0005-0000-0000-000021000000}"/>
    <cellStyle name="Currency [0]" xfId="2544" xr:uid="{00000000-0005-0000-0000-000022000000}"/>
    <cellStyle name="Currency_2.objekten aanbestedi#B9BC8.xls" xfId="2545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euro" xfId="6" xr:uid="{00000000-0005-0000-0000-000027000000}"/>
    <cellStyle name="Euro 2" xfId="2546" xr:uid="{00000000-0005-0000-0000-000028000000}"/>
    <cellStyle name="Euro 3" xfId="2547" xr:uid="{00000000-0005-0000-0000-000029000000}"/>
    <cellStyle name="Euro 4" xfId="2548" xr:uid="{00000000-0005-0000-0000-00002A000000}"/>
    <cellStyle name="Euro_Calculatie Lenger Seafoods Yerseke 090106-1" xfId="2549" xr:uid="{00000000-0005-0000-0000-00002B000000}"/>
    <cellStyle name="Explanatory Text" xfId="2550" xr:uid="{00000000-0005-0000-0000-00002C000000}"/>
    <cellStyle name="Followed Hyperlink_Aantal groepen per school.xls" xfId="2551" xr:uid="{00000000-0005-0000-0000-00002D000000}"/>
    <cellStyle name="Gekoppelde cel" xfId="7" xr:uid="{00000000-0005-0000-0000-00002E000000}"/>
    <cellStyle name="Gekoppelde cel 2" xfId="2552" xr:uid="{00000000-0005-0000-0000-00002F000000}"/>
    <cellStyle name="Gevolgde hyperlink" xfId="177" builtinId="9" hidden="1"/>
    <cellStyle name="Gevolgde hyperlink" xfId="181" builtinId="9" hidden="1"/>
    <cellStyle name="Gevolgde hyperlink" xfId="185" builtinId="9" hidden="1"/>
    <cellStyle name="Gevolgde hyperlink" xfId="189" builtinId="9" hidden="1"/>
    <cellStyle name="Gevolgde hyperlink" xfId="193" builtinId="9" hidden="1"/>
    <cellStyle name="Gevolgde hyperlink" xfId="197" builtinId="9" hidden="1"/>
    <cellStyle name="Gevolgde hyperlink" xfId="201" builtinId="9" hidden="1"/>
    <cellStyle name="Gevolgde hyperlink" xfId="205" builtinId="9" hidden="1"/>
    <cellStyle name="Gevolgde hyperlink" xfId="209" builtinId="9" hidden="1"/>
    <cellStyle name="Gevolgde hyperlink" xfId="213" builtinId="9" hidden="1"/>
    <cellStyle name="Gevolgde hyperlink" xfId="217" builtinId="9" hidden="1"/>
    <cellStyle name="Gevolgde hyperlink" xfId="221" builtinId="9" hidden="1"/>
    <cellStyle name="Gevolgde hyperlink" xfId="225" builtinId="9" hidden="1"/>
    <cellStyle name="Gevolgde hyperlink" xfId="229" builtinId="9" hidden="1"/>
    <cellStyle name="Gevolgde hyperlink" xfId="233" builtinId="9" hidden="1"/>
    <cellStyle name="Gevolgde hyperlink" xfId="237" builtinId="9" hidden="1"/>
    <cellStyle name="Gevolgde hyperlink" xfId="241" builtinId="9" hidden="1"/>
    <cellStyle name="Gevolgde hyperlink" xfId="245" builtinId="9" hidden="1"/>
    <cellStyle name="Gevolgde hyperlink" xfId="249" builtinId="9" hidden="1"/>
    <cellStyle name="Gevolgde hyperlink" xfId="253" builtinId="9" hidden="1"/>
    <cellStyle name="Gevolgde hyperlink" xfId="257" builtinId="9" hidden="1"/>
    <cellStyle name="Gevolgde hyperlink" xfId="261" builtinId="9" hidden="1"/>
    <cellStyle name="Gevolgde hyperlink" xfId="265" builtinId="9" hidden="1"/>
    <cellStyle name="Gevolgde hyperlink" xfId="269" builtinId="9" hidden="1"/>
    <cellStyle name="Gevolgde hyperlink" xfId="273" builtinId="9" hidden="1"/>
    <cellStyle name="Gevolgde hyperlink" xfId="277" builtinId="9" hidden="1"/>
    <cellStyle name="Gevolgde hyperlink" xfId="281" builtinId="9" hidden="1"/>
    <cellStyle name="Gevolgde hyperlink" xfId="285" builtinId="9" hidden="1"/>
    <cellStyle name="Gevolgde hyperlink" xfId="289" builtinId="9" hidden="1"/>
    <cellStyle name="Gevolgde hyperlink" xfId="293" builtinId="9" hidden="1"/>
    <cellStyle name="Gevolgde hyperlink" xfId="297" builtinId="9" hidden="1"/>
    <cellStyle name="Gevolgde hyperlink" xfId="301" builtinId="9" hidden="1"/>
    <cellStyle name="Gevolgde hyperlink" xfId="305" builtinId="9" hidden="1"/>
    <cellStyle name="Gevolgde hyperlink" xfId="309" builtinId="9" hidden="1"/>
    <cellStyle name="Gevolgde hyperlink" xfId="313" builtinId="9" hidden="1"/>
    <cellStyle name="Gevolgde hyperlink" xfId="317" builtinId="9" hidden="1"/>
    <cellStyle name="Gevolgde hyperlink" xfId="321" builtinId="9" hidden="1"/>
    <cellStyle name="Gevolgde hyperlink" xfId="325" builtinId="9" hidden="1"/>
    <cellStyle name="Gevolgde hyperlink" xfId="329" builtinId="9" hidden="1"/>
    <cellStyle name="Gevolgde hyperlink" xfId="333" builtinId="9" hidden="1"/>
    <cellStyle name="Gevolgde hyperlink" xfId="337" builtinId="9" hidden="1"/>
    <cellStyle name="Gevolgde hyperlink" xfId="341" builtinId="9" hidden="1"/>
    <cellStyle name="Gevolgde hyperlink" xfId="345" builtinId="9" hidden="1"/>
    <cellStyle name="Gevolgde hyperlink" xfId="349" builtinId="9" hidden="1"/>
    <cellStyle name="Gevolgde hyperlink" xfId="353" builtinId="9" hidden="1"/>
    <cellStyle name="Gevolgde hyperlink" xfId="357" builtinId="9" hidden="1"/>
    <cellStyle name="Gevolgde hyperlink" xfId="361" builtinId="9" hidden="1"/>
    <cellStyle name="Gevolgde hyperlink" xfId="365" builtinId="9" hidden="1"/>
    <cellStyle name="Gevolgde hyperlink" xfId="369" builtinId="9" hidden="1"/>
    <cellStyle name="Gevolgde hyperlink" xfId="373" builtinId="9" hidden="1"/>
    <cellStyle name="Gevolgde hyperlink" xfId="377" builtinId="9" hidden="1"/>
    <cellStyle name="Gevolgde hyperlink" xfId="381" builtinId="9" hidden="1"/>
    <cellStyle name="Gevolgde hyperlink" xfId="385" builtinId="9" hidden="1"/>
    <cellStyle name="Gevolgde hyperlink" xfId="389" builtinId="9" hidden="1"/>
    <cellStyle name="Gevolgde hyperlink" xfId="393" builtinId="9" hidden="1"/>
    <cellStyle name="Gevolgde hyperlink" xfId="397" builtinId="9" hidden="1"/>
    <cellStyle name="Gevolgde hyperlink" xfId="401" builtinId="9" hidden="1"/>
    <cellStyle name="Gevolgde hyperlink" xfId="405" builtinId="9" hidden="1"/>
    <cellStyle name="Gevolgde hyperlink" xfId="409" builtinId="9" hidden="1"/>
    <cellStyle name="Gevolgde hyperlink" xfId="413" builtinId="9" hidden="1"/>
    <cellStyle name="Gevolgde hyperlink" xfId="417" builtinId="9" hidden="1"/>
    <cellStyle name="Gevolgde hyperlink" xfId="421" builtinId="9" hidden="1"/>
    <cellStyle name="Gevolgde hyperlink" xfId="425" builtinId="9" hidden="1"/>
    <cellStyle name="Gevolgde hyperlink" xfId="429" builtinId="9" hidden="1"/>
    <cellStyle name="Gevolgde hyperlink" xfId="433" builtinId="9" hidden="1"/>
    <cellStyle name="Gevolgde hyperlink" xfId="437" builtinId="9" hidden="1"/>
    <cellStyle name="Gevolgde hyperlink" xfId="441" builtinId="9" hidden="1"/>
    <cellStyle name="Gevolgde hyperlink" xfId="445" builtinId="9" hidden="1"/>
    <cellStyle name="Gevolgde hyperlink" xfId="449" builtinId="9" hidden="1"/>
    <cellStyle name="Gevolgde hyperlink" xfId="453" builtinId="9" hidden="1"/>
    <cellStyle name="Gevolgde hyperlink" xfId="457" builtinId="9" hidden="1"/>
    <cellStyle name="Gevolgde hyperlink" xfId="461" builtinId="9" hidden="1"/>
    <cellStyle name="Gevolgde hyperlink" xfId="465" builtinId="9" hidden="1"/>
    <cellStyle name="Gevolgde hyperlink" xfId="469" builtinId="9" hidden="1"/>
    <cellStyle name="Gevolgde hyperlink" xfId="473" builtinId="9" hidden="1"/>
    <cellStyle name="Gevolgde hyperlink" xfId="477" builtinId="9" hidden="1"/>
    <cellStyle name="Gevolgde hyperlink" xfId="481" builtinId="9" hidden="1"/>
    <cellStyle name="Gevolgde hyperlink" xfId="485" builtinId="9" hidden="1"/>
    <cellStyle name="Gevolgde hyperlink" xfId="489" builtinId="9" hidden="1"/>
    <cellStyle name="Gevolgde hyperlink" xfId="493" builtinId="9" hidden="1"/>
    <cellStyle name="Gevolgde hyperlink" xfId="497" builtinId="9" hidden="1"/>
    <cellStyle name="Gevolgde hyperlink" xfId="501" builtinId="9" hidden="1"/>
    <cellStyle name="Gevolgde hyperlink" xfId="505" builtinId="9" hidden="1"/>
    <cellStyle name="Gevolgde hyperlink" xfId="509" builtinId="9" hidden="1"/>
    <cellStyle name="Gevolgde hyperlink" xfId="513" builtinId="9" hidden="1"/>
    <cellStyle name="Gevolgde hyperlink" xfId="517" builtinId="9" hidden="1"/>
    <cellStyle name="Gevolgde hyperlink" xfId="521" builtinId="9" hidden="1"/>
    <cellStyle name="Gevolgde hyperlink" xfId="525" builtinId="9" hidden="1"/>
    <cellStyle name="Gevolgde hyperlink" xfId="529" builtinId="9" hidden="1"/>
    <cellStyle name="Gevolgde hyperlink" xfId="533" builtinId="9" hidden="1"/>
    <cellStyle name="Gevolgde hyperlink" xfId="537" builtinId="9" hidden="1"/>
    <cellStyle name="Gevolgde hyperlink" xfId="541" builtinId="9" hidden="1"/>
    <cellStyle name="Gevolgde hyperlink" xfId="545" builtinId="9" hidden="1"/>
    <cellStyle name="Gevolgde hyperlink" xfId="549" builtinId="9" hidden="1"/>
    <cellStyle name="Gevolgde hyperlink" xfId="553" builtinId="9" hidden="1"/>
    <cellStyle name="Gevolgde hyperlink" xfId="557" builtinId="9" hidden="1"/>
    <cellStyle name="Gevolgde hyperlink" xfId="561" builtinId="9" hidden="1"/>
    <cellStyle name="Gevolgde hyperlink" xfId="565" builtinId="9" hidden="1"/>
    <cellStyle name="Gevolgde hyperlink" xfId="569" builtinId="9" hidden="1"/>
    <cellStyle name="Gevolgde hyperlink" xfId="573" builtinId="9" hidden="1"/>
    <cellStyle name="Gevolgde hyperlink" xfId="577" builtinId="9" hidden="1"/>
    <cellStyle name="Gevolgde hyperlink" xfId="581" builtinId="9" hidden="1"/>
    <cellStyle name="Gevolgde hyperlink" xfId="585" builtinId="9" hidden="1"/>
    <cellStyle name="Gevolgde hyperlink" xfId="589" builtinId="9" hidden="1"/>
    <cellStyle name="Gevolgde hyperlink" xfId="593" builtinId="9" hidden="1"/>
    <cellStyle name="Gevolgde hyperlink" xfId="597" builtinId="9" hidden="1"/>
    <cellStyle name="Gevolgde hyperlink" xfId="601" builtinId="9" hidden="1"/>
    <cellStyle name="Gevolgde hyperlink" xfId="605" builtinId="9" hidden="1"/>
    <cellStyle name="Gevolgde hyperlink" xfId="609" builtinId="9" hidden="1"/>
    <cellStyle name="Gevolgde hyperlink" xfId="613" builtinId="9" hidden="1"/>
    <cellStyle name="Gevolgde hyperlink" xfId="617" builtinId="9" hidden="1"/>
    <cellStyle name="Gevolgde hyperlink" xfId="621" builtinId="9" hidden="1"/>
    <cellStyle name="Gevolgde hyperlink" xfId="625" builtinId="9" hidden="1"/>
    <cellStyle name="Gevolgde hyperlink" xfId="629" builtinId="9" hidden="1"/>
    <cellStyle name="Gevolgde hyperlink" xfId="633" builtinId="9" hidden="1"/>
    <cellStyle name="Gevolgde hyperlink" xfId="637" builtinId="9" hidden="1"/>
    <cellStyle name="Gevolgde hyperlink" xfId="641" builtinId="9" hidden="1"/>
    <cellStyle name="Gevolgde hyperlink" xfId="645" builtinId="9" hidden="1"/>
    <cellStyle name="Gevolgde hyperlink" xfId="649" builtinId="9" hidden="1"/>
    <cellStyle name="Gevolgde hyperlink" xfId="653" builtinId="9" hidden="1"/>
    <cellStyle name="Gevolgde hyperlink" xfId="657" builtinId="9" hidden="1"/>
    <cellStyle name="Gevolgde hyperlink" xfId="661" builtinId="9" hidden="1"/>
    <cellStyle name="Gevolgde hyperlink" xfId="665" builtinId="9" hidden="1"/>
    <cellStyle name="Gevolgde hyperlink" xfId="669" builtinId="9" hidden="1"/>
    <cellStyle name="Gevolgde hyperlink" xfId="673" builtinId="9" hidden="1"/>
    <cellStyle name="Gevolgde hyperlink" xfId="677" builtinId="9" hidden="1"/>
    <cellStyle name="Gevolgde hyperlink" xfId="681" builtinId="9" hidden="1"/>
    <cellStyle name="Gevolgde hyperlink" xfId="685" builtinId="9" hidden="1"/>
    <cellStyle name="Gevolgde hyperlink" xfId="689" builtinId="9" hidden="1"/>
    <cellStyle name="Gevolgde hyperlink" xfId="693" builtinId="9" hidden="1"/>
    <cellStyle name="Gevolgde hyperlink" xfId="697" builtinId="9" hidden="1"/>
    <cellStyle name="Gevolgde hyperlink" xfId="701" builtinId="9" hidden="1"/>
    <cellStyle name="Gevolgde hyperlink" xfId="705" builtinId="9" hidden="1"/>
    <cellStyle name="Gevolgde hyperlink" xfId="709" builtinId="9" hidden="1"/>
    <cellStyle name="Gevolgde hyperlink" xfId="713" builtinId="9" hidden="1"/>
    <cellStyle name="Gevolgde hyperlink" xfId="717" builtinId="9" hidden="1"/>
    <cellStyle name="Gevolgde hyperlink" xfId="721" builtinId="9" hidden="1"/>
    <cellStyle name="Gevolgde hyperlink" xfId="725" builtinId="9" hidden="1"/>
    <cellStyle name="Gevolgde hyperlink" xfId="729" builtinId="9" hidden="1"/>
    <cellStyle name="Gevolgde hyperlink" xfId="733" builtinId="9" hidden="1"/>
    <cellStyle name="Gevolgde hyperlink" xfId="737" builtinId="9" hidden="1"/>
    <cellStyle name="Gevolgde hyperlink" xfId="741" builtinId="9" hidden="1"/>
    <cellStyle name="Gevolgde hyperlink" xfId="745" builtinId="9" hidden="1"/>
    <cellStyle name="Gevolgde hyperlink" xfId="749" builtinId="9" hidden="1"/>
    <cellStyle name="Gevolgde hyperlink" xfId="753" builtinId="9" hidden="1"/>
    <cellStyle name="Gevolgde hyperlink" xfId="757" builtinId="9" hidden="1"/>
    <cellStyle name="Gevolgde hyperlink" xfId="761" builtinId="9" hidden="1"/>
    <cellStyle name="Gevolgde hyperlink" xfId="765" builtinId="9" hidden="1"/>
    <cellStyle name="Gevolgde hyperlink" xfId="769" builtinId="9" hidden="1"/>
    <cellStyle name="Gevolgde hyperlink" xfId="773" builtinId="9" hidden="1"/>
    <cellStyle name="Gevolgde hyperlink" xfId="777" builtinId="9" hidden="1"/>
    <cellStyle name="Gevolgde hyperlink" xfId="781" builtinId="9" hidden="1"/>
    <cellStyle name="Gevolgde hyperlink" xfId="785" builtinId="9" hidden="1"/>
    <cellStyle name="Gevolgde hyperlink" xfId="789" builtinId="9" hidden="1"/>
    <cellStyle name="Gevolgde hyperlink" xfId="793" builtinId="9" hidden="1"/>
    <cellStyle name="Gevolgde hyperlink" xfId="797" builtinId="9" hidden="1"/>
    <cellStyle name="Gevolgde hyperlink" xfId="801" builtinId="9" hidden="1"/>
    <cellStyle name="Gevolgde hyperlink" xfId="805" builtinId="9" hidden="1"/>
    <cellStyle name="Gevolgde hyperlink" xfId="809" builtinId="9" hidden="1"/>
    <cellStyle name="Gevolgde hyperlink" xfId="813" builtinId="9" hidden="1"/>
    <cellStyle name="Gevolgde hyperlink" xfId="817" builtinId="9" hidden="1"/>
    <cellStyle name="Gevolgde hyperlink" xfId="821" builtinId="9" hidden="1"/>
    <cellStyle name="Gevolgde hyperlink" xfId="825" builtinId="9" hidden="1"/>
    <cellStyle name="Gevolgde hyperlink" xfId="829" builtinId="9" hidden="1"/>
    <cellStyle name="Gevolgde hyperlink" xfId="833" builtinId="9" hidden="1"/>
    <cellStyle name="Gevolgde hyperlink" xfId="837" builtinId="9" hidden="1"/>
    <cellStyle name="Gevolgde hyperlink" xfId="841" builtinId="9" hidden="1"/>
    <cellStyle name="Gevolgde hyperlink" xfId="845" builtinId="9" hidden="1"/>
    <cellStyle name="Gevolgde hyperlink" xfId="849" builtinId="9" hidden="1"/>
    <cellStyle name="Gevolgde hyperlink" xfId="853" builtinId="9" hidden="1"/>
    <cellStyle name="Gevolgde hyperlink" xfId="857" builtinId="9" hidden="1"/>
    <cellStyle name="Gevolgde hyperlink" xfId="861" builtinId="9" hidden="1"/>
    <cellStyle name="Gevolgde hyperlink" xfId="865" builtinId="9" hidden="1"/>
    <cellStyle name="Gevolgde hyperlink" xfId="869" builtinId="9" hidden="1"/>
    <cellStyle name="Gevolgde hyperlink" xfId="873" builtinId="9" hidden="1"/>
    <cellStyle name="Gevolgde hyperlink" xfId="877" builtinId="9" hidden="1"/>
    <cellStyle name="Gevolgde hyperlink" xfId="881" builtinId="9" hidden="1"/>
    <cellStyle name="Gevolgde hyperlink" xfId="885" builtinId="9" hidden="1"/>
    <cellStyle name="Gevolgde hyperlink" xfId="889" builtinId="9" hidden="1"/>
    <cellStyle name="Gevolgde hyperlink" xfId="893" builtinId="9" hidden="1"/>
    <cellStyle name="Gevolgde hyperlink" xfId="897" builtinId="9" hidden="1"/>
    <cellStyle name="Gevolgde hyperlink" xfId="901" builtinId="9" hidden="1"/>
    <cellStyle name="Gevolgde hyperlink" xfId="905" builtinId="9" hidden="1"/>
    <cellStyle name="Gevolgde hyperlink" xfId="909" builtinId="9" hidden="1"/>
    <cellStyle name="Gevolgde hyperlink" xfId="913" builtinId="9" hidden="1"/>
    <cellStyle name="Gevolgde hyperlink" xfId="917" builtinId="9" hidden="1"/>
    <cellStyle name="Gevolgde hyperlink" xfId="921" builtinId="9" hidden="1"/>
    <cellStyle name="Gevolgde hyperlink" xfId="925" builtinId="9" hidden="1"/>
    <cellStyle name="Gevolgde hyperlink" xfId="929" builtinId="9" hidden="1"/>
    <cellStyle name="Gevolgde hyperlink" xfId="933" builtinId="9" hidden="1"/>
    <cellStyle name="Gevolgde hyperlink" xfId="937" builtinId="9" hidden="1"/>
    <cellStyle name="Gevolgde hyperlink" xfId="941" builtinId="9" hidden="1"/>
    <cellStyle name="Gevolgde hyperlink" xfId="945" builtinId="9" hidden="1"/>
    <cellStyle name="Gevolgde hyperlink" xfId="949" builtinId="9" hidden="1"/>
    <cellStyle name="Gevolgde hyperlink" xfId="953" builtinId="9" hidden="1"/>
    <cellStyle name="Gevolgde hyperlink" xfId="957" builtinId="9" hidden="1"/>
    <cellStyle name="Gevolgde hyperlink" xfId="961" builtinId="9" hidden="1"/>
    <cellStyle name="Gevolgde hyperlink" xfId="965" builtinId="9" hidden="1"/>
    <cellStyle name="Gevolgde hyperlink" xfId="969" builtinId="9" hidden="1"/>
    <cellStyle name="Gevolgde hyperlink" xfId="973" builtinId="9" hidden="1"/>
    <cellStyle name="Gevolgde hyperlink" xfId="977" builtinId="9" hidden="1"/>
    <cellStyle name="Gevolgde hyperlink" xfId="981" builtinId="9" hidden="1"/>
    <cellStyle name="Gevolgde hyperlink" xfId="985" builtinId="9" hidden="1"/>
    <cellStyle name="Gevolgde hyperlink" xfId="989" builtinId="9" hidden="1"/>
    <cellStyle name="Gevolgde hyperlink" xfId="993" builtinId="9" hidden="1"/>
    <cellStyle name="Gevolgde hyperlink" xfId="997" builtinId="9" hidden="1"/>
    <cellStyle name="Gevolgde hyperlink" xfId="1001" builtinId="9" hidden="1"/>
    <cellStyle name="Gevolgde hyperlink" xfId="1005" builtinId="9" hidden="1"/>
    <cellStyle name="Gevolgde hyperlink" xfId="1009" builtinId="9" hidden="1"/>
    <cellStyle name="Gevolgde hyperlink" xfId="1013" builtinId="9" hidden="1"/>
    <cellStyle name="Gevolgde hyperlink" xfId="1017" builtinId="9" hidden="1"/>
    <cellStyle name="Gevolgde hyperlink" xfId="1021" builtinId="9" hidden="1"/>
    <cellStyle name="Gevolgde hyperlink" xfId="1025" builtinId="9" hidden="1"/>
    <cellStyle name="Gevolgde hyperlink" xfId="1029" builtinId="9" hidden="1"/>
    <cellStyle name="Gevolgde hyperlink" xfId="1033" builtinId="9" hidden="1"/>
    <cellStyle name="Gevolgde hyperlink" xfId="1037" builtinId="9" hidden="1"/>
    <cellStyle name="Gevolgde hyperlink" xfId="1041" builtinId="9" hidden="1"/>
    <cellStyle name="Gevolgde hyperlink" xfId="1045" builtinId="9" hidden="1"/>
    <cellStyle name="Gevolgde hyperlink" xfId="1049" builtinId="9" hidden="1"/>
    <cellStyle name="Gevolgde hyperlink" xfId="1053" builtinId="9" hidden="1"/>
    <cellStyle name="Gevolgde hyperlink" xfId="1057" builtinId="9" hidden="1"/>
    <cellStyle name="Gevolgde hyperlink" xfId="1061" builtinId="9" hidden="1"/>
    <cellStyle name="Gevolgde hyperlink" xfId="1065" builtinId="9" hidden="1"/>
    <cellStyle name="Gevolgde hyperlink" xfId="1069" builtinId="9" hidden="1"/>
    <cellStyle name="Gevolgde hyperlink" xfId="1073" builtinId="9" hidden="1"/>
    <cellStyle name="Gevolgde hyperlink" xfId="1077" builtinId="9" hidden="1"/>
    <cellStyle name="Gevolgde hyperlink" xfId="1081" builtinId="9" hidden="1"/>
    <cellStyle name="Gevolgde hyperlink" xfId="1085" builtinId="9" hidden="1"/>
    <cellStyle name="Gevolgde hyperlink" xfId="1089" builtinId="9" hidden="1"/>
    <cellStyle name="Gevolgde hyperlink" xfId="1093" builtinId="9" hidden="1"/>
    <cellStyle name="Gevolgde hyperlink" xfId="1097" builtinId="9" hidden="1"/>
    <cellStyle name="Gevolgde hyperlink" xfId="1101" builtinId="9" hidden="1"/>
    <cellStyle name="Gevolgde hyperlink" xfId="1105" builtinId="9" hidden="1"/>
    <cellStyle name="Gevolgde hyperlink" xfId="1109" builtinId="9" hidden="1"/>
    <cellStyle name="Gevolgde hyperlink" xfId="1113" builtinId="9" hidden="1"/>
    <cellStyle name="Gevolgde hyperlink" xfId="1117" builtinId="9" hidden="1"/>
    <cellStyle name="Gevolgde hyperlink" xfId="1121" builtinId="9" hidden="1"/>
    <cellStyle name="Gevolgde hyperlink" xfId="1125" builtinId="9" hidden="1"/>
    <cellStyle name="Gevolgde hyperlink" xfId="1129" builtinId="9" hidden="1"/>
    <cellStyle name="Gevolgde hyperlink" xfId="1133" builtinId="9" hidden="1"/>
    <cellStyle name="Gevolgde hyperlink" xfId="1137" builtinId="9" hidden="1"/>
    <cellStyle name="Gevolgde hyperlink" xfId="1141" builtinId="9" hidden="1"/>
    <cellStyle name="Gevolgde hyperlink" xfId="1145" builtinId="9" hidden="1"/>
    <cellStyle name="Gevolgde hyperlink" xfId="1149" builtinId="9" hidden="1"/>
    <cellStyle name="Gevolgde hyperlink" xfId="1153" builtinId="9" hidden="1"/>
    <cellStyle name="Gevolgde hyperlink" xfId="1157" builtinId="9" hidden="1"/>
    <cellStyle name="Gevolgde hyperlink" xfId="1161" builtinId="9" hidden="1"/>
    <cellStyle name="Gevolgde hyperlink" xfId="1165" builtinId="9" hidden="1"/>
    <cellStyle name="Gevolgde hyperlink" xfId="1169" builtinId="9" hidden="1"/>
    <cellStyle name="Gevolgde hyperlink" xfId="1173" builtinId="9" hidden="1"/>
    <cellStyle name="Gevolgde hyperlink" xfId="1177" builtinId="9" hidden="1"/>
    <cellStyle name="Gevolgde hyperlink" xfId="1181" builtinId="9" hidden="1"/>
    <cellStyle name="Gevolgde hyperlink" xfId="1185" builtinId="9" hidden="1"/>
    <cellStyle name="Gevolgde hyperlink" xfId="1189" builtinId="9" hidden="1"/>
    <cellStyle name="Gevolgde hyperlink" xfId="1193" builtinId="9" hidden="1"/>
    <cellStyle name="Gevolgde hyperlink" xfId="1197" builtinId="9" hidden="1"/>
    <cellStyle name="Gevolgde hyperlink" xfId="1201" builtinId="9" hidden="1"/>
    <cellStyle name="Gevolgde hyperlink" xfId="1205" builtinId="9" hidden="1"/>
    <cellStyle name="Gevolgde hyperlink" xfId="1209" builtinId="9" hidden="1"/>
    <cellStyle name="Gevolgde hyperlink" xfId="1213" builtinId="9" hidden="1"/>
    <cellStyle name="Gevolgde hyperlink" xfId="1217" builtinId="9" hidden="1"/>
    <cellStyle name="Gevolgde hyperlink" xfId="1221" builtinId="9" hidden="1"/>
    <cellStyle name="Gevolgde hyperlink" xfId="1225" builtinId="9" hidden="1"/>
    <cellStyle name="Gevolgde hyperlink" xfId="1229" builtinId="9" hidden="1"/>
    <cellStyle name="Gevolgde hyperlink" xfId="1233" builtinId="9" hidden="1"/>
    <cellStyle name="Gevolgde hyperlink" xfId="1237" builtinId="9" hidden="1"/>
    <cellStyle name="Gevolgde hyperlink" xfId="1241" builtinId="9" hidden="1"/>
    <cellStyle name="Gevolgde hyperlink" xfId="1245" builtinId="9" hidden="1"/>
    <cellStyle name="Gevolgde hyperlink" xfId="1249" builtinId="9" hidden="1"/>
    <cellStyle name="Gevolgde hyperlink" xfId="1253" builtinId="9" hidden="1"/>
    <cellStyle name="Gevolgde hyperlink" xfId="1257" builtinId="9" hidden="1"/>
    <cellStyle name="Gevolgde hyperlink" xfId="1261" builtinId="9" hidden="1"/>
    <cellStyle name="Gevolgde hyperlink" xfId="1265" builtinId="9" hidden="1"/>
    <cellStyle name="Gevolgde hyperlink" xfId="1269" builtinId="9" hidden="1"/>
    <cellStyle name="Gevolgde hyperlink" xfId="1273" builtinId="9" hidden="1"/>
    <cellStyle name="Gevolgde hyperlink" xfId="1277" builtinId="9" hidden="1"/>
    <cellStyle name="Gevolgde hyperlink" xfId="1281" builtinId="9" hidden="1"/>
    <cellStyle name="Gevolgde hyperlink" xfId="1285" builtinId="9" hidden="1"/>
    <cellStyle name="Gevolgde hyperlink" xfId="1289" builtinId="9" hidden="1"/>
    <cellStyle name="Gevolgde hyperlink" xfId="1293" builtinId="9" hidden="1"/>
    <cellStyle name="Gevolgde hyperlink" xfId="1297" builtinId="9" hidden="1"/>
    <cellStyle name="Gevolgde hyperlink" xfId="1301" builtinId="9" hidden="1"/>
    <cellStyle name="Gevolgde hyperlink" xfId="1305" builtinId="9" hidden="1"/>
    <cellStyle name="Gevolgde hyperlink" xfId="1309" builtinId="9" hidden="1"/>
    <cellStyle name="Gevolgde hyperlink" xfId="1313" builtinId="9" hidden="1"/>
    <cellStyle name="Gevolgde hyperlink" xfId="1317" builtinId="9" hidden="1"/>
    <cellStyle name="Gevolgde hyperlink" xfId="1321" builtinId="9" hidden="1"/>
    <cellStyle name="Gevolgde hyperlink" xfId="1325" builtinId="9" hidden="1"/>
    <cellStyle name="Gevolgde hyperlink" xfId="1329" builtinId="9" hidden="1"/>
    <cellStyle name="Gevolgde hyperlink" xfId="1333" builtinId="9" hidden="1"/>
    <cellStyle name="Gevolgde hyperlink" xfId="1337" builtinId="9" hidden="1"/>
    <cellStyle name="Gevolgde hyperlink" xfId="1341" builtinId="9" hidden="1"/>
    <cellStyle name="Gevolgde hyperlink" xfId="1345" builtinId="9" hidden="1"/>
    <cellStyle name="Gevolgde hyperlink" xfId="1349" builtinId="9" hidden="1"/>
    <cellStyle name="Gevolgde hyperlink" xfId="1353" builtinId="9" hidden="1"/>
    <cellStyle name="Gevolgde hyperlink" xfId="1357" builtinId="9" hidden="1"/>
    <cellStyle name="Gevolgde hyperlink" xfId="1361" builtinId="9" hidden="1"/>
    <cellStyle name="Gevolgde hyperlink" xfId="1365" builtinId="9" hidden="1"/>
    <cellStyle name="Gevolgde hyperlink" xfId="1369" builtinId="9" hidden="1"/>
    <cellStyle name="Gevolgde hyperlink" xfId="1373" builtinId="9" hidden="1"/>
    <cellStyle name="Gevolgde hyperlink" xfId="1377" builtinId="9" hidden="1"/>
    <cellStyle name="Gevolgde hyperlink" xfId="1381" builtinId="9" hidden="1"/>
    <cellStyle name="Gevolgde hyperlink" xfId="1385" builtinId="9" hidden="1"/>
    <cellStyle name="Gevolgde hyperlink" xfId="1389" builtinId="9" hidden="1"/>
    <cellStyle name="Gevolgde hyperlink" xfId="1393" builtinId="9" hidden="1"/>
    <cellStyle name="Gevolgde hyperlink" xfId="1397" builtinId="9" hidden="1"/>
    <cellStyle name="Gevolgde hyperlink" xfId="1401" builtinId="9" hidden="1"/>
    <cellStyle name="Gevolgde hyperlink" xfId="1405" builtinId="9" hidden="1"/>
    <cellStyle name="Gevolgde hyperlink" xfId="1409" builtinId="9" hidden="1"/>
    <cellStyle name="Gevolgde hyperlink" xfId="1413" builtinId="9" hidden="1"/>
    <cellStyle name="Gevolgde hyperlink" xfId="1417" builtinId="9" hidden="1"/>
    <cellStyle name="Gevolgde hyperlink" xfId="1421" builtinId="9" hidden="1"/>
    <cellStyle name="Gevolgde hyperlink" xfId="1425" builtinId="9" hidden="1"/>
    <cellStyle name="Gevolgde hyperlink" xfId="1429" builtinId="9" hidden="1"/>
    <cellStyle name="Gevolgde hyperlink" xfId="1433" builtinId="9" hidden="1"/>
    <cellStyle name="Gevolgde hyperlink" xfId="1437" builtinId="9" hidden="1"/>
    <cellStyle name="Gevolgde hyperlink" xfId="1441" builtinId="9" hidden="1"/>
    <cellStyle name="Gevolgde hyperlink" xfId="1445" builtinId="9" hidden="1"/>
    <cellStyle name="Gevolgde hyperlink" xfId="1449" builtinId="9" hidden="1"/>
    <cellStyle name="Gevolgde hyperlink" xfId="1453" builtinId="9" hidden="1"/>
    <cellStyle name="Gevolgde hyperlink" xfId="1457" builtinId="9" hidden="1"/>
    <cellStyle name="Gevolgde hyperlink" xfId="1461" builtinId="9" hidden="1"/>
    <cellStyle name="Gevolgde hyperlink" xfId="1465" builtinId="9" hidden="1"/>
    <cellStyle name="Gevolgde hyperlink" xfId="1469" builtinId="9" hidden="1"/>
    <cellStyle name="Gevolgde hyperlink" xfId="1473" builtinId="9" hidden="1"/>
    <cellStyle name="Gevolgde hyperlink" xfId="1477" builtinId="9" hidden="1"/>
    <cellStyle name="Gevolgde hyperlink" xfId="1481" builtinId="9" hidden="1"/>
    <cellStyle name="Gevolgde hyperlink" xfId="1485" builtinId="9" hidden="1"/>
    <cellStyle name="Gevolgde hyperlink" xfId="1489" builtinId="9" hidden="1"/>
    <cellStyle name="Gevolgde hyperlink" xfId="1493" builtinId="9" hidden="1"/>
    <cellStyle name="Gevolgde hyperlink" xfId="1497" builtinId="9" hidden="1"/>
    <cellStyle name="Gevolgde hyperlink" xfId="1501" builtinId="9" hidden="1"/>
    <cellStyle name="Gevolgde hyperlink" xfId="1505" builtinId="9" hidden="1"/>
    <cellStyle name="Gevolgde hyperlink" xfId="1509" builtinId="9" hidden="1"/>
    <cellStyle name="Gevolgde hyperlink" xfId="1513" builtinId="9" hidden="1"/>
    <cellStyle name="Gevolgde hyperlink" xfId="1517" builtinId="9" hidden="1"/>
    <cellStyle name="Gevolgde hyperlink" xfId="1521" builtinId="9" hidden="1"/>
    <cellStyle name="Gevolgde hyperlink" xfId="1525" builtinId="9" hidden="1"/>
    <cellStyle name="Gevolgde hyperlink" xfId="1529" builtinId="9" hidden="1"/>
    <cellStyle name="Gevolgde hyperlink" xfId="1533" builtinId="9" hidden="1"/>
    <cellStyle name="Gevolgde hyperlink" xfId="1537" builtinId="9" hidden="1"/>
    <cellStyle name="Gevolgde hyperlink" xfId="1541" builtinId="9" hidden="1"/>
    <cellStyle name="Gevolgde hyperlink" xfId="1545" builtinId="9" hidden="1"/>
    <cellStyle name="Gevolgde hyperlink" xfId="1549" builtinId="9" hidden="1"/>
    <cellStyle name="Gevolgde hyperlink" xfId="1553" builtinId="9" hidden="1"/>
    <cellStyle name="Gevolgde hyperlink" xfId="1557" builtinId="9" hidden="1"/>
    <cellStyle name="Gevolgde hyperlink" xfId="1561" builtinId="9" hidden="1"/>
    <cellStyle name="Gevolgde hyperlink" xfId="1565" builtinId="9" hidden="1"/>
    <cellStyle name="Gevolgde hyperlink" xfId="1569" builtinId="9" hidden="1"/>
    <cellStyle name="Gevolgde hyperlink" xfId="1573" builtinId="9" hidden="1"/>
    <cellStyle name="Gevolgde hyperlink" xfId="1577" builtinId="9" hidden="1"/>
    <cellStyle name="Gevolgde hyperlink" xfId="1581" builtinId="9" hidden="1"/>
    <cellStyle name="Gevolgde hyperlink" xfId="1585" builtinId="9" hidden="1"/>
    <cellStyle name="Gevolgde hyperlink" xfId="1589" builtinId="9" hidden="1"/>
    <cellStyle name="Gevolgde hyperlink" xfId="1593" builtinId="9" hidden="1"/>
    <cellStyle name="Gevolgde hyperlink" xfId="1597" builtinId="9" hidden="1"/>
    <cellStyle name="Gevolgde hyperlink" xfId="1601" builtinId="9" hidden="1"/>
    <cellStyle name="Gevolgde hyperlink" xfId="1605" builtinId="9" hidden="1"/>
    <cellStyle name="Gevolgde hyperlink" xfId="1609" builtinId="9" hidden="1"/>
    <cellStyle name="Gevolgde hyperlink" xfId="1613" builtinId="9" hidden="1"/>
    <cellStyle name="Gevolgde hyperlink" xfId="1617" builtinId="9" hidden="1"/>
    <cellStyle name="Gevolgde hyperlink" xfId="1621" builtinId="9" hidden="1"/>
    <cellStyle name="Gevolgde hyperlink" xfId="1625" builtinId="9" hidden="1"/>
    <cellStyle name="Gevolgde hyperlink" xfId="1629" builtinId="9" hidden="1"/>
    <cellStyle name="Gevolgde hyperlink" xfId="1633" builtinId="9" hidden="1"/>
    <cellStyle name="Gevolgde hyperlink" xfId="1637" builtinId="9" hidden="1"/>
    <cellStyle name="Gevolgde hyperlink" xfId="1641" builtinId="9" hidden="1"/>
    <cellStyle name="Gevolgde hyperlink" xfId="1645" builtinId="9" hidden="1"/>
    <cellStyle name="Gevolgde hyperlink" xfId="1649" builtinId="9" hidden="1"/>
    <cellStyle name="Gevolgde hyperlink" xfId="1653" builtinId="9" hidden="1"/>
    <cellStyle name="Gevolgde hyperlink" xfId="1657" builtinId="9" hidden="1"/>
    <cellStyle name="Gevolgde hyperlink" xfId="1661" builtinId="9" hidden="1"/>
    <cellStyle name="Gevolgde hyperlink" xfId="1665" builtinId="9" hidden="1"/>
    <cellStyle name="Gevolgde hyperlink" xfId="1669" builtinId="9" hidden="1"/>
    <cellStyle name="Gevolgde hyperlink" xfId="1673" builtinId="9" hidden="1"/>
    <cellStyle name="Gevolgde hyperlink" xfId="1677" builtinId="9" hidden="1"/>
    <cellStyle name="Gevolgde hyperlink" xfId="1681" builtinId="9" hidden="1"/>
    <cellStyle name="Gevolgde hyperlink" xfId="1685" builtinId="9" hidden="1"/>
    <cellStyle name="Gevolgde hyperlink" xfId="1689" builtinId="9" hidden="1"/>
    <cellStyle name="Gevolgde hyperlink" xfId="1693" builtinId="9" hidden="1"/>
    <cellStyle name="Gevolgde hyperlink" xfId="1697" builtinId="9" hidden="1"/>
    <cellStyle name="Gevolgde hyperlink" xfId="1701" builtinId="9" hidden="1"/>
    <cellStyle name="Gevolgde hyperlink" xfId="1705" builtinId="9" hidden="1"/>
    <cellStyle name="Gevolgde hyperlink" xfId="1709" builtinId="9" hidden="1"/>
    <cellStyle name="Gevolgde hyperlink" xfId="1713" builtinId="9" hidden="1"/>
    <cellStyle name="Gevolgde hyperlink" xfId="1717" builtinId="9" hidden="1"/>
    <cellStyle name="Gevolgde hyperlink" xfId="1721" builtinId="9" hidden="1"/>
    <cellStyle name="Gevolgde hyperlink" xfId="1725" builtinId="9" hidden="1"/>
    <cellStyle name="Gevolgde hyperlink" xfId="1729" builtinId="9" hidden="1"/>
    <cellStyle name="Gevolgde hyperlink" xfId="1733" builtinId="9" hidden="1"/>
    <cellStyle name="Gevolgde hyperlink" xfId="1737" builtinId="9" hidden="1"/>
    <cellStyle name="Gevolgde hyperlink" xfId="1741" builtinId="9" hidden="1"/>
    <cellStyle name="Gevolgde hyperlink" xfId="1745" builtinId="9" hidden="1"/>
    <cellStyle name="Gevolgde hyperlink" xfId="1749" builtinId="9" hidden="1"/>
    <cellStyle name="Gevolgde hyperlink" xfId="1753" builtinId="9" hidden="1"/>
    <cellStyle name="Gevolgde hyperlink" xfId="1757" builtinId="9" hidden="1"/>
    <cellStyle name="Gevolgde hyperlink" xfId="1761" builtinId="9" hidden="1"/>
    <cellStyle name="Gevolgde hyperlink" xfId="1765" builtinId="9" hidden="1"/>
    <cellStyle name="Gevolgde hyperlink" xfId="1769" builtinId="9" hidden="1"/>
    <cellStyle name="Gevolgde hyperlink" xfId="1773" builtinId="9" hidden="1"/>
    <cellStyle name="Gevolgde hyperlink" xfId="1777" builtinId="9" hidden="1"/>
    <cellStyle name="Gevolgde hyperlink" xfId="1781" builtinId="9" hidden="1"/>
    <cellStyle name="Gevolgde hyperlink" xfId="1785" builtinId="9" hidden="1"/>
    <cellStyle name="Gevolgde hyperlink" xfId="1789" builtinId="9" hidden="1"/>
    <cellStyle name="Gevolgde hyperlink" xfId="1793" builtinId="9" hidden="1"/>
    <cellStyle name="Gevolgde hyperlink" xfId="1797" builtinId="9" hidden="1"/>
    <cellStyle name="Gevolgde hyperlink" xfId="1801" builtinId="9" hidden="1"/>
    <cellStyle name="Gevolgde hyperlink" xfId="1805" builtinId="9" hidden="1"/>
    <cellStyle name="Gevolgde hyperlink" xfId="1809" builtinId="9" hidden="1"/>
    <cellStyle name="Gevolgde hyperlink" xfId="1813" builtinId="9" hidden="1"/>
    <cellStyle name="Gevolgde hyperlink" xfId="1817" builtinId="9" hidden="1"/>
    <cellStyle name="Gevolgde hyperlink" xfId="1821" builtinId="9" hidden="1"/>
    <cellStyle name="Gevolgde hyperlink" xfId="1825" builtinId="9" hidden="1"/>
    <cellStyle name="Gevolgde hyperlink" xfId="1829" builtinId="9" hidden="1"/>
    <cellStyle name="Gevolgde hyperlink" xfId="1833" builtinId="9" hidden="1"/>
    <cellStyle name="Gevolgde hyperlink" xfId="1837" builtinId="9" hidden="1"/>
    <cellStyle name="Gevolgde hyperlink" xfId="1841" builtinId="9" hidden="1"/>
    <cellStyle name="Gevolgde hyperlink" xfId="1845" builtinId="9" hidden="1"/>
    <cellStyle name="Gevolgde hyperlink" xfId="1849" builtinId="9" hidden="1"/>
    <cellStyle name="Gevolgde hyperlink" xfId="1853" builtinId="9" hidden="1"/>
    <cellStyle name="Gevolgde hyperlink" xfId="1857" builtinId="9" hidden="1"/>
    <cellStyle name="Gevolgde hyperlink" xfId="1861" builtinId="9" hidden="1"/>
    <cellStyle name="Gevolgde hyperlink" xfId="1865" builtinId="9" hidden="1"/>
    <cellStyle name="Gevolgde hyperlink" xfId="1869" builtinId="9" hidden="1"/>
    <cellStyle name="Gevolgde hyperlink" xfId="1873" builtinId="9" hidden="1"/>
    <cellStyle name="Gevolgde hyperlink" xfId="1877" builtinId="9" hidden="1"/>
    <cellStyle name="Gevolgde hyperlink" xfId="1881" builtinId="9" hidden="1"/>
    <cellStyle name="Gevolgde hyperlink" xfId="1885" builtinId="9" hidden="1"/>
    <cellStyle name="Gevolgde hyperlink" xfId="1889" builtinId="9" hidden="1"/>
    <cellStyle name="Gevolgde hyperlink" xfId="1893" builtinId="9" hidden="1"/>
    <cellStyle name="Gevolgde hyperlink" xfId="1897" builtinId="9" hidden="1"/>
    <cellStyle name="Gevolgde hyperlink" xfId="1901" builtinId="9" hidden="1"/>
    <cellStyle name="Gevolgde hyperlink" xfId="1905" builtinId="9" hidden="1"/>
    <cellStyle name="Gevolgde hyperlink" xfId="1909" builtinId="9" hidden="1"/>
    <cellStyle name="Gevolgde hyperlink" xfId="1913" builtinId="9" hidden="1"/>
    <cellStyle name="Gevolgde hyperlink" xfId="1917" builtinId="9" hidden="1"/>
    <cellStyle name="Gevolgde hyperlink" xfId="1921" builtinId="9" hidden="1"/>
    <cellStyle name="Gevolgde hyperlink" xfId="1925" builtinId="9" hidden="1"/>
    <cellStyle name="Gevolgde hyperlink" xfId="1929" builtinId="9" hidden="1"/>
    <cellStyle name="Gevolgde hyperlink" xfId="1933" builtinId="9" hidden="1"/>
    <cellStyle name="Gevolgde hyperlink" xfId="1937" builtinId="9" hidden="1"/>
    <cellStyle name="Gevolgde hyperlink" xfId="1941" builtinId="9" hidden="1"/>
    <cellStyle name="Gevolgde hyperlink" xfId="1945" builtinId="9" hidden="1"/>
    <cellStyle name="Gevolgde hyperlink" xfId="1949" builtinId="9" hidden="1"/>
    <cellStyle name="Gevolgde hyperlink" xfId="1953" builtinId="9" hidden="1"/>
    <cellStyle name="Gevolgde hyperlink" xfId="1957" builtinId="9" hidden="1"/>
    <cellStyle name="Gevolgde hyperlink" xfId="1961" builtinId="9" hidden="1"/>
    <cellStyle name="Gevolgde hyperlink" xfId="1965" builtinId="9" hidden="1"/>
    <cellStyle name="Gevolgde hyperlink" xfId="1969" builtinId="9" hidden="1"/>
    <cellStyle name="Gevolgde hyperlink" xfId="1973" builtinId="9" hidden="1"/>
    <cellStyle name="Gevolgde hyperlink" xfId="1977" builtinId="9" hidden="1"/>
    <cellStyle name="Gevolgde hyperlink" xfId="1981" builtinId="9" hidden="1"/>
    <cellStyle name="Gevolgde hyperlink" xfId="1985" builtinId="9" hidden="1"/>
    <cellStyle name="Gevolgde hyperlink" xfId="1989" builtinId="9" hidden="1"/>
    <cellStyle name="Gevolgde hyperlink" xfId="1993" builtinId="9" hidden="1"/>
    <cellStyle name="Gevolgde hyperlink" xfId="1997" builtinId="9" hidden="1"/>
    <cellStyle name="Gevolgde hyperlink" xfId="2001" builtinId="9" hidden="1"/>
    <cellStyle name="Gevolgde hyperlink" xfId="2005" builtinId="9" hidden="1"/>
    <cellStyle name="Gevolgde hyperlink" xfId="2009" builtinId="9" hidden="1"/>
    <cellStyle name="Gevolgde hyperlink" xfId="2013" builtinId="9" hidden="1"/>
    <cellStyle name="Gevolgde hyperlink" xfId="2017" builtinId="9" hidden="1"/>
    <cellStyle name="Gevolgde hyperlink" xfId="2021" builtinId="9" hidden="1"/>
    <cellStyle name="Gevolgde hyperlink" xfId="2025" builtinId="9" hidden="1"/>
    <cellStyle name="Gevolgde hyperlink" xfId="2029" builtinId="9" hidden="1"/>
    <cellStyle name="Gevolgde hyperlink" xfId="2033" builtinId="9" hidden="1"/>
    <cellStyle name="Gevolgde hyperlink" xfId="2037" builtinId="9" hidden="1"/>
    <cellStyle name="Gevolgde hyperlink" xfId="2041" builtinId="9" hidden="1"/>
    <cellStyle name="Gevolgde hyperlink" xfId="2045" builtinId="9" hidden="1"/>
    <cellStyle name="Gevolgde hyperlink" xfId="2049" builtinId="9" hidden="1"/>
    <cellStyle name="Gevolgde hyperlink" xfId="2053" builtinId="9" hidden="1"/>
    <cellStyle name="Gevolgde hyperlink" xfId="2057" builtinId="9" hidden="1"/>
    <cellStyle name="Gevolgde hyperlink" xfId="2061" builtinId="9" hidden="1"/>
    <cellStyle name="Gevolgde hyperlink" xfId="2065" builtinId="9" hidden="1"/>
    <cellStyle name="Gevolgde hyperlink" xfId="2069" builtinId="9" hidden="1"/>
    <cellStyle name="Gevolgde hyperlink" xfId="2073" builtinId="9" hidden="1"/>
    <cellStyle name="Gevolgde hyperlink" xfId="2077" builtinId="9" hidden="1"/>
    <cellStyle name="Gevolgde hyperlink" xfId="2081" builtinId="9" hidden="1"/>
    <cellStyle name="Gevolgde hyperlink" xfId="2085" builtinId="9" hidden="1"/>
    <cellStyle name="Gevolgde hyperlink" xfId="2089" builtinId="9" hidden="1"/>
    <cellStyle name="Gevolgde hyperlink" xfId="2093" builtinId="9" hidden="1"/>
    <cellStyle name="Gevolgde hyperlink" xfId="2097" builtinId="9" hidden="1"/>
    <cellStyle name="Gevolgde hyperlink" xfId="2101" builtinId="9" hidden="1"/>
    <cellStyle name="Gevolgde hyperlink" xfId="2105" builtinId="9" hidden="1"/>
    <cellStyle name="Gevolgde hyperlink" xfId="2109" builtinId="9" hidden="1"/>
    <cellStyle name="Gevolgde hyperlink" xfId="2113" builtinId="9" hidden="1"/>
    <cellStyle name="Gevolgde hyperlink" xfId="2117" builtinId="9" hidden="1"/>
    <cellStyle name="Gevolgde hyperlink" xfId="2121" builtinId="9" hidden="1"/>
    <cellStyle name="Gevolgde hyperlink" xfId="2125" builtinId="9" hidden="1"/>
    <cellStyle name="Gevolgde hyperlink" xfId="2129" builtinId="9" hidden="1"/>
    <cellStyle name="Gevolgde hyperlink" xfId="2133" builtinId="9" hidden="1"/>
    <cellStyle name="Gevolgde hyperlink" xfId="2137" builtinId="9" hidden="1"/>
    <cellStyle name="Gevolgde hyperlink" xfId="2141" builtinId="9" hidden="1"/>
    <cellStyle name="Gevolgde hyperlink" xfId="2145" builtinId="9" hidden="1"/>
    <cellStyle name="Gevolgde hyperlink" xfId="2149" builtinId="9" hidden="1"/>
    <cellStyle name="Gevolgde hyperlink" xfId="2153" builtinId="9" hidden="1"/>
    <cellStyle name="Gevolgde hyperlink" xfId="2157" builtinId="9" hidden="1"/>
    <cellStyle name="Gevolgde hyperlink" xfId="2161" builtinId="9" hidden="1"/>
    <cellStyle name="Gevolgde hyperlink" xfId="2165" builtinId="9" hidden="1"/>
    <cellStyle name="Gevolgde hyperlink" xfId="2169" builtinId="9" hidden="1"/>
    <cellStyle name="Gevolgde hyperlink" xfId="2173" builtinId="9" hidden="1"/>
    <cellStyle name="Gevolgde hyperlink" xfId="2177" builtinId="9" hidden="1"/>
    <cellStyle name="Gevolgde hyperlink" xfId="2181" builtinId="9" hidden="1"/>
    <cellStyle name="Gevolgde hyperlink" xfId="2185" builtinId="9" hidden="1"/>
    <cellStyle name="Gevolgde hyperlink" xfId="2189" builtinId="9" hidden="1"/>
    <cellStyle name="Gevolgde hyperlink" xfId="2193" builtinId="9" hidden="1"/>
    <cellStyle name="Gevolgde hyperlink" xfId="2197" builtinId="9" hidden="1"/>
    <cellStyle name="Gevolgde hyperlink" xfId="2201" builtinId="9" hidden="1"/>
    <cellStyle name="Gevolgde hyperlink" xfId="2205" builtinId="9" hidden="1"/>
    <cellStyle name="Gevolgde hyperlink" xfId="2209" builtinId="9" hidden="1"/>
    <cellStyle name="Gevolgde hyperlink" xfId="2213" builtinId="9" hidden="1"/>
    <cellStyle name="Gevolgde hyperlink" xfId="2217" builtinId="9" hidden="1"/>
    <cellStyle name="Gevolgde hyperlink" xfId="2221" builtinId="9" hidden="1"/>
    <cellStyle name="Gevolgde hyperlink" xfId="2225" builtinId="9" hidden="1"/>
    <cellStyle name="Gevolgde hyperlink" xfId="2229" builtinId="9" hidden="1"/>
    <cellStyle name="Gevolgde hyperlink" xfId="2233" builtinId="9" hidden="1"/>
    <cellStyle name="Gevolgde hyperlink" xfId="2237" builtinId="9" hidden="1"/>
    <cellStyle name="Gevolgde hyperlink" xfId="2241" builtinId="9" hidden="1"/>
    <cellStyle name="Gevolgde hyperlink" xfId="2245" builtinId="9" hidden="1"/>
    <cellStyle name="Gevolgde hyperlink" xfId="2249" builtinId="9" hidden="1"/>
    <cellStyle name="Gevolgde hyperlink" xfId="2253" builtinId="9" hidden="1"/>
    <cellStyle name="Gevolgde hyperlink" xfId="2257" builtinId="9" hidden="1"/>
    <cellStyle name="Gevolgde hyperlink" xfId="2261" builtinId="9" hidden="1"/>
    <cellStyle name="Gevolgde hyperlink" xfId="2265" builtinId="9" hidden="1"/>
    <cellStyle name="Gevolgde hyperlink" xfId="2269" builtinId="9" hidden="1"/>
    <cellStyle name="Gevolgde hyperlink" xfId="2273" builtinId="9" hidden="1"/>
    <cellStyle name="Gevolgde hyperlink" xfId="2277" builtinId="9" hidden="1"/>
    <cellStyle name="Gevolgde hyperlink" xfId="2281" builtinId="9" hidden="1"/>
    <cellStyle name="Gevolgde hyperlink" xfId="2285" builtinId="9" hidden="1"/>
    <cellStyle name="Gevolgde hyperlink" xfId="2289" builtinId="9" hidden="1"/>
    <cellStyle name="Gevolgde hyperlink" xfId="2293" builtinId="9" hidden="1"/>
    <cellStyle name="Gevolgde hyperlink" xfId="2297" builtinId="9" hidden="1"/>
    <cellStyle name="Gevolgde hyperlink" xfId="2301" builtinId="9" hidden="1"/>
    <cellStyle name="Gevolgde hyperlink" xfId="2305" builtinId="9" hidden="1"/>
    <cellStyle name="Gevolgde hyperlink" xfId="2309" builtinId="9" hidden="1"/>
    <cellStyle name="Gevolgde hyperlink" xfId="2313" builtinId="9" hidden="1"/>
    <cellStyle name="Gevolgde hyperlink" xfId="2317" builtinId="9" hidden="1"/>
    <cellStyle name="Gevolgde hyperlink" xfId="2321" builtinId="9" hidden="1"/>
    <cellStyle name="Gevolgde hyperlink" xfId="2325" builtinId="9" hidden="1"/>
    <cellStyle name="Gevolgde hyperlink" xfId="2329" builtinId="9" hidden="1"/>
    <cellStyle name="Gevolgde hyperlink" xfId="2333" builtinId="9" hidden="1"/>
    <cellStyle name="Gevolgde hyperlink" xfId="2337" builtinId="9" hidden="1"/>
    <cellStyle name="Gevolgde hyperlink" xfId="2341" builtinId="9" hidden="1"/>
    <cellStyle name="Gevolgde hyperlink" xfId="2345" builtinId="9" hidden="1"/>
    <cellStyle name="Gevolgde hyperlink" xfId="2349" builtinId="9" hidden="1"/>
    <cellStyle name="Gevolgde hyperlink" xfId="2353" builtinId="9" hidden="1"/>
    <cellStyle name="Gevolgde hyperlink" xfId="2357" builtinId="9" hidden="1"/>
    <cellStyle name="Gevolgde hyperlink" xfId="2361" builtinId="9" hidden="1"/>
    <cellStyle name="Gevolgde hyperlink" xfId="2365" builtinId="9" hidden="1"/>
    <cellStyle name="Gevolgde hyperlink" xfId="2369" builtinId="9" hidden="1"/>
    <cellStyle name="Gevolgde hyperlink" xfId="2373" builtinId="9" hidden="1"/>
    <cellStyle name="Gevolgde hyperlink" xfId="2377" builtinId="9" hidden="1"/>
    <cellStyle name="Gevolgde hyperlink" xfId="2381" builtinId="9" hidden="1"/>
    <cellStyle name="Gevolgde hyperlink" xfId="2385" builtinId="9" hidden="1"/>
    <cellStyle name="Gevolgde hyperlink" xfId="2389" builtinId="9" hidden="1"/>
    <cellStyle name="Gevolgde hyperlink" xfId="2393" builtinId="9" hidden="1"/>
    <cellStyle name="Gevolgde hyperlink" xfId="2397" builtinId="9" hidden="1"/>
    <cellStyle name="Gevolgde hyperlink" xfId="2401" builtinId="9" hidden="1"/>
    <cellStyle name="Gevolgde hyperlink" xfId="2405" builtinId="9" hidden="1"/>
    <cellStyle name="Gevolgde hyperlink" xfId="2409" builtinId="9" hidden="1"/>
    <cellStyle name="Gevolgde hyperlink" xfId="2413" builtinId="9" hidden="1"/>
    <cellStyle name="Gevolgde hyperlink" xfId="2417" builtinId="9" hidden="1"/>
    <cellStyle name="Gevolgde hyperlink" xfId="2421" builtinId="9" hidden="1"/>
    <cellStyle name="Gevolgde hyperlink" xfId="2425" builtinId="9" hidden="1"/>
    <cellStyle name="Gevolgde hyperlink" xfId="2429" builtinId="9" hidden="1"/>
    <cellStyle name="Gevolgde hyperlink" xfId="2433" builtinId="9" hidden="1"/>
    <cellStyle name="Gevolgde hyperlink" xfId="2437" builtinId="9" hidden="1"/>
    <cellStyle name="Gevolgde hyperlink" xfId="2441" builtinId="9" hidden="1"/>
    <cellStyle name="Gevolgde hyperlink" xfId="2445" builtinId="9" hidden="1"/>
    <cellStyle name="Gevolgde hyperlink" xfId="2449" builtinId="9" hidden="1"/>
    <cellStyle name="Gevolgde hyperlink" xfId="2453" builtinId="9" hidden="1"/>
    <cellStyle name="Gevolgde hyperlink" xfId="2457" builtinId="9" hidden="1"/>
    <cellStyle name="Gevolgde hyperlink" xfId="2461" builtinId="9" hidden="1"/>
    <cellStyle name="Gevolgde hyperlink" xfId="2465" builtinId="9" hidden="1"/>
    <cellStyle name="Gevolgde hyperlink" xfId="2469" builtinId="9" hidden="1"/>
    <cellStyle name="Gevolgde hyperlink" xfId="2473" builtinId="9" hidden="1"/>
    <cellStyle name="Gevolgde hyperlink" xfId="2477" builtinId="9" hidden="1"/>
    <cellStyle name="Gevolgde hyperlink" xfId="2481" builtinId="9" hidden="1"/>
    <cellStyle name="Gevolgde hyperlink" xfId="2485" builtinId="9" hidden="1"/>
    <cellStyle name="Gevolgde hyperlink" xfId="2489" builtinId="9" hidden="1"/>
    <cellStyle name="Gevolgde hyperlink" xfId="2493" builtinId="9" hidden="1"/>
    <cellStyle name="Gevolgde hyperlink" xfId="2497" builtinId="9" hidden="1"/>
    <cellStyle name="Gevolgde hyperlink" xfId="2501" builtinId="9" hidden="1"/>
    <cellStyle name="Gevolgde hyperlink" xfId="2505" builtinId="9" hidden="1"/>
    <cellStyle name="Gevolgde hyperlink" xfId="2510" builtinId="9" hidden="1"/>
    <cellStyle name="Gevolgde hyperlink" xfId="2622" builtinId="9" hidden="1"/>
    <cellStyle name="Gevolgde hyperlink" xfId="2626" builtinId="9" hidden="1"/>
    <cellStyle name="Gevolgde hyperlink" xfId="2630" builtinId="9" hidden="1"/>
    <cellStyle name="Gevolgde hyperlink" xfId="2634" builtinId="9" hidden="1"/>
    <cellStyle name="Gevolgde hyperlink" xfId="2638" builtinId="9" hidden="1"/>
    <cellStyle name="Gevolgde hyperlink" xfId="2642" builtinId="9" hidden="1"/>
    <cellStyle name="Gevolgde hyperlink" xfId="2646" builtinId="9" hidden="1"/>
    <cellStyle name="Gevolgde hyperlink" xfId="2650" builtinId="9" hidden="1"/>
    <cellStyle name="Gevolgde hyperlink" xfId="2654" builtinId="9" hidden="1"/>
    <cellStyle name="Gevolgde hyperlink" xfId="2658" builtinId="9" hidden="1"/>
    <cellStyle name="Gevolgde hyperlink" xfId="2662" builtinId="9" hidden="1"/>
    <cellStyle name="Gevolgde hyperlink" xfId="2666" builtinId="9" hidden="1"/>
    <cellStyle name="Gevolgde hyperlink" xfId="2670" builtinId="9" hidden="1"/>
    <cellStyle name="Gevolgde hyperlink" xfId="2674" builtinId="9" hidden="1"/>
    <cellStyle name="Gevolgde hyperlink" xfId="2678" builtinId="9" hidden="1"/>
    <cellStyle name="Gevolgde hyperlink" xfId="2682" builtinId="9" hidden="1"/>
    <cellStyle name="Gevolgde hyperlink" xfId="2686" builtinId="9" hidden="1"/>
    <cellStyle name="Gevolgde hyperlink" xfId="2690" builtinId="9" hidden="1"/>
    <cellStyle name="Gevolgde hyperlink" xfId="2694" builtinId="9" hidden="1"/>
    <cellStyle name="Gevolgde hyperlink" xfId="2698" builtinId="9" hidden="1"/>
    <cellStyle name="Gevolgde hyperlink" xfId="2702" builtinId="9" hidden="1"/>
    <cellStyle name="Gevolgde hyperlink" xfId="2706" builtinId="9" hidden="1"/>
    <cellStyle name="Gevolgde hyperlink" xfId="2710" builtinId="9" hidden="1"/>
    <cellStyle name="Gevolgde hyperlink" xfId="2714" builtinId="9" hidden="1"/>
    <cellStyle name="Gevolgde hyperlink" xfId="2718" builtinId="9" hidden="1"/>
    <cellStyle name="Gevolgde hyperlink" xfId="2722" builtinId="9" hidden="1"/>
    <cellStyle name="Gevolgde hyperlink" xfId="2726" builtinId="9" hidden="1"/>
    <cellStyle name="Gevolgde hyperlink" xfId="2730" builtinId="9" hidden="1"/>
    <cellStyle name="Gevolgde hyperlink" xfId="2734" builtinId="9" hidden="1"/>
    <cellStyle name="Gevolgde hyperlink" xfId="2738" builtinId="9" hidden="1"/>
    <cellStyle name="Gevolgde hyperlink" xfId="2742" builtinId="9" hidden="1"/>
    <cellStyle name="Gevolgde hyperlink" xfId="2746" builtinId="9" hidden="1"/>
    <cellStyle name="Gevolgde hyperlink" xfId="2750" builtinId="9" hidden="1"/>
    <cellStyle name="Gevolgde hyperlink" xfId="2754" builtinId="9" hidden="1"/>
    <cellStyle name="Gevolgde hyperlink" xfId="2758" builtinId="9" hidden="1"/>
    <cellStyle name="Gevolgde hyperlink" xfId="2762" builtinId="9" hidden="1"/>
    <cellStyle name="Gevolgde hyperlink" xfId="2766" builtinId="9" hidden="1"/>
    <cellStyle name="Gevolgde hyperlink" xfId="2770" builtinId="9" hidden="1"/>
    <cellStyle name="Gevolgde hyperlink" xfId="2774" builtinId="9" hidden="1"/>
    <cellStyle name="Gevolgde hyperlink" xfId="2778" builtinId="9" hidden="1"/>
    <cellStyle name="Gevolgde hyperlink" xfId="2782" builtinId="9" hidden="1"/>
    <cellStyle name="Gevolgde hyperlink" xfId="2786" builtinId="9" hidden="1"/>
    <cellStyle name="Gevolgde hyperlink" xfId="2790" builtinId="9" hidden="1"/>
    <cellStyle name="Gevolgde hyperlink" xfId="2794" builtinId="9" hidden="1"/>
    <cellStyle name="Gevolgde hyperlink" xfId="2798" builtinId="9" hidden="1"/>
    <cellStyle name="Gevolgde hyperlink" xfId="2802" builtinId="9" hidden="1"/>
    <cellStyle name="Gevolgde hyperlink" xfId="2806" builtinId="9" hidden="1"/>
    <cellStyle name="Gevolgde hyperlink" xfId="2810" builtinId="9" hidden="1"/>
    <cellStyle name="Gevolgde hyperlink" xfId="2814" builtinId="9" hidden="1"/>
    <cellStyle name="Gevolgde hyperlink" xfId="2818" builtinId="9" hidden="1"/>
    <cellStyle name="Gevolgde hyperlink" xfId="2822" builtinId="9" hidden="1"/>
    <cellStyle name="Gevolgde hyperlink" xfId="2826" builtinId="9" hidden="1"/>
    <cellStyle name="Gevolgde hyperlink" xfId="2830" builtinId="9" hidden="1"/>
    <cellStyle name="Gevolgde hyperlink" xfId="2834" builtinId="9" hidden="1"/>
    <cellStyle name="Gevolgde hyperlink" xfId="2838" builtinId="9" hidden="1"/>
    <cellStyle name="Gevolgde hyperlink" xfId="2842" builtinId="9" hidden="1"/>
    <cellStyle name="Gevolgde hyperlink" xfId="2846" builtinId="9" hidden="1"/>
    <cellStyle name="Gevolgde hyperlink" xfId="2850" builtinId="9" hidden="1"/>
    <cellStyle name="Gevolgde hyperlink" xfId="2854" builtinId="9" hidden="1"/>
    <cellStyle name="Gevolgde hyperlink" xfId="2858" builtinId="9" hidden="1"/>
    <cellStyle name="Gevolgde hyperlink" xfId="2862" builtinId="9" hidden="1"/>
    <cellStyle name="Gevolgde hyperlink" xfId="2866" builtinId="9" hidden="1"/>
    <cellStyle name="Gevolgde hyperlink" xfId="2870" builtinId="9" hidden="1"/>
    <cellStyle name="Gevolgde hyperlink" xfId="2874" builtinId="9" hidden="1"/>
    <cellStyle name="Gevolgde hyperlink" xfId="2878" builtinId="9" hidden="1"/>
    <cellStyle name="Gevolgde hyperlink" xfId="2882" builtinId="9" hidden="1"/>
    <cellStyle name="Gevolgde hyperlink" xfId="2886" builtinId="9" hidden="1"/>
    <cellStyle name="Gevolgde hyperlink" xfId="2890" builtinId="9" hidden="1"/>
    <cellStyle name="Gevolgde hyperlink" xfId="2894" builtinId="9" hidden="1"/>
    <cellStyle name="Gevolgde hyperlink" xfId="2898" builtinId="9" hidden="1"/>
    <cellStyle name="Gevolgde hyperlink" xfId="2902" builtinId="9" hidden="1"/>
    <cellStyle name="Gevolgde hyperlink" xfId="2906" builtinId="9" hidden="1"/>
    <cellStyle name="Gevolgde hyperlink" xfId="2910" builtinId="9" hidden="1"/>
    <cellStyle name="Gevolgde hyperlink" xfId="2914" builtinId="9" hidden="1"/>
    <cellStyle name="Gevolgde hyperlink" xfId="2918" builtinId="9" hidden="1"/>
    <cellStyle name="Gevolgde hyperlink" xfId="2922" builtinId="9" hidden="1"/>
    <cellStyle name="Gevolgde hyperlink" xfId="2926" builtinId="9" hidden="1"/>
    <cellStyle name="Gevolgde hyperlink" xfId="2930" builtinId="9" hidden="1"/>
    <cellStyle name="Gevolgde hyperlink" xfId="2934" builtinId="9" hidden="1"/>
    <cellStyle name="Gevolgde hyperlink" xfId="2938" builtinId="9" hidden="1"/>
    <cellStyle name="Gevolgde hyperlink" xfId="2942" builtinId="9" hidden="1"/>
    <cellStyle name="Gevolgde hyperlink" xfId="2946" builtinId="9" hidden="1"/>
    <cellStyle name="Gevolgde hyperlink" xfId="2950" builtinId="9" hidden="1"/>
    <cellStyle name="Gevolgde hyperlink" xfId="2954" builtinId="9" hidden="1"/>
    <cellStyle name="Gevolgde hyperlink" xfId="2958" builtinId="9" hidden="1"/>
    <cellStyle name="Gevolgde hyperlink" xfId="2962" builtinId="9" hidden="1"/>
    <cellStyle name="Gevolgde hyperlink" xfId="2966" builtinId="9" hidden="1"/>
    <cellStyle name="Gevolgde hyperlink" xfId="2970" builtinId="9" hidden="1"/>
    <cellStyle name="Gevolgde hyperlink" xfId="2974" builtinId="9" hidden="1"/>
    <cellStyle name="Gevolgde hyperlink" xfId="2978" builtinId="9" hidden="1"/>
    <cellStyle name="Gevolgde hyperlink" xfId="2982" builtinId="9" hidden="1"/>
    <cellStyle name="Gevolgde hyperlink" xfId="2986" builtinId="9" hidden="1"/>
    <cellStyle name="Gevolgde hyperlink" xfId="2990" builtinId="9" hidden="1"/>
    <cellStyle name="Gevolgde hyperlink" xfId="2994" builtinId="9" hidden="1"/>
    <cellStyle name="Gevolgde hyperlink" xfId="2998" builtinId="9" hidden="1"/>
    <cellStyle name="Gevolgde hyperlink" xfId="3002" builtinId="9" hidden="1"/>
    <cellStyle name="Gevolgde hyperlink" xfId="3006" builtinId="9" hidden="1"/>
    <cellStyle name="Gevolgde hyperlink" xfId="3010" builtinId="9" hidden="1"/>
    <cellStyle name="Gevolgde hyperlink" xfId="3014" builtinId="9" hidden="1"/>
    <cellStyle name="Gevolgde hyperlink" xfId="3018" builtinId="9" hidden="1"/>
    <cellStyle name="Gevolgde hyperlink" xfId="3022" builtinId="9" hidden="1"/>
    <cellStyle name="Gevolgde hyperlink" xfId="3026" builtinId="9" hidden="1"/>
    <cellStyle name="Gevolgde hyperlink" xfId="3030" builtinId="9" hidden="1"/>
    <cellStyle name="Gevolgde hyperlink" xfId="3034" builtinId="9" hidden="1"/>
    <cellStyle name="Gevolgde hyperlink" xfId="3038" builtinId="9" hidden="1"/>
    <cellStyle name="Gevolgde hyperlink" xfId="3042" builtinId="9" hidden="1"/>
    <cellStyle name="Gevolgde hyperlink" xfId="3046" builtinId="9" hidden="1"/>
    <cellStyle name="Gevolgde hyperlink" xfId="3050" builtinId="9" hidden="1"/>
    <cellStyle name="Gevolgde hyperlink" xfId="3054" builtinId="9" hidden="1"/>
    <cellStyle name="Gevolgde hyperlink" xfId="3058" builtinId="9" hidden="1"/>
    <cellStyle name="Gevolgde hyperlink" xfId="3062" builtinId="9" hidden="1"/>
    <cellStyle name="Gevolgde hyperlink" xfId="3066" builtinId="9" hidden="1"/>
    <cellStyle name="Gevolgde hyperlink" xfId="3070" builtinId="9" hidden="1"/>
    <cellStyle name="Gevolgde hyperlink" xfId="3074" builtinId="9" hidden="1"/>
    <cellStyle name="Gevolgde hyperlink" xfId="3078" builtinId="9" hidden="1"/>
    <cellStyle name="Gevolgde hyperlink" xfId="3082" builtinId="9" hidden="1"/>
    <cellStyle name="Gevolgde hyperlink" xfId="3086" builtinId="9" hidden="1"/>
    <cellStyle name="Gevolgde hyperlink" xfId="3090" builtinId="9" hidden="1"/>
    <cellStyle name="Gevolgde hyperlink" xfId="3094" builtinId="9" hidden="1"/>
    <cellStyle name="Gevolgde hyperlink" xfId="3098" builtinId="9" hidden="1"/>
    <cellStyle name="Gevolgde hyperlink" xfId="3102" builtinId="9" hidden="1"/>
    <cellStyle name="Gevolgde hyperlink" xfId="3106" builtinId="9" hidden="1"/>
    <cellStyle name="Gevolgde hyperlink" xfId="3110" builtinId="9" hidden="1"/>
    <cellStyle name="Gevolgde hyperlink" xfId="3114" builtinId="9" hidden="1"/>
    <cellStyle name="Gevolgde hyperlink" xfId="3118" builtinId="9" hidden="1"/>
    <cellStyle name="Gevolgde hyperlink" xfId="3122" builtinId="9" hidden="1"/>
    <cellStyle name="Gevolgde hyperlink" xfId="3126" builtinId="9" hidden="1"/>
    <cellStyle name="Gevolgde hyperlink" xfId="3130" builtinId="9" hidden="1"/>
    <cellStyle name="Gevolgde hyperlink" xfId="3134" builtinId="9" hidden="1"/>
    <cellStyle name="Gevolgde hyperlink" xfId="3138" builtinId="9" hidden="1"/>
    <cellStyle name="Gevolgde hyperlink" xfId="3142" builtinId="9" hidden="1"/>
    <cellStyle name="Gevolgde hyperlink" xfId="3146" builtinId="9" hidden="1"/>
    <cellStyle name="Gevolgde hyperlink" xfId="3150" builtinId="9" hidden="1"/>
    <cellStyle name="Gevolgde hyperlink" xfId="3154" builtinId="9" hidden="1"/>
    <cellStyle name="Gevolgde hyperlink" xfId="3158" builtinId="9" hidden="1"/>
    <cellStyle name="Gevolgde hyperlink" xfId="3162" builtinId="9" hidden="1"/>
    <cellStyle name="Gevolgde hyperlink" xfId="3166" builtinId="9" hidden="1"/>
    <cellStyle name="Gevolgde hyperlink" xfId="3170" builtinId="9" hidden="1"/>
    <cellStyle name="Gevolgde hyperlink" xfId="3174" builtinId="9" hidden="1"/>
    <cellStyle name="Gevolgde hyperlink" xfId="3178" builtinId="9" hidden="1"/>
    <cellStyle name="Gevolgde hyperlink" xfId="3182" builtinId="9" hidden="1"/>
    <cellStyle name="Gevolgde hyperlink" xfId="3186" builtinId="9" hidden="1"/>
    <cellStyle name="Gevolgde hyperlink" xfId="3190" builtinId="9" hidden="1"/>
    <cellStyle name="Gevolgde hyperlink" xfId="3194" builtinId="9" hidden="1"/>
    <cellStyle name="Gevolgde hyperlink" xfId="3198" builtinId="9" hidden="1"/>
    <cellStyle name="Gevolgde hyperlink" xfId="3202" builtinId="9" hidden="1"/>
    <cellStyle name="Gevolgde hyperlink" xfId="3206" builtinId="9" hidden="1"/>
    <cellStyle name="Gevolgde hyperlink" xfId="3210" builtinId="9" hidden="1"/>
    <cellStyle name="Gevolgde hyperlink" xfId="3214" builtinId="9" hidden="1"/>
    <cellStyle name="Gevolgde hyperlink" xfId="3218" builtinId="9" hidden="1"/>
    <cellStyle name="Gevolgde hyperlink" xfId="3222" builtinId="9" hidden="1"/>
    <cellStyle name="Gevolgde hyperlink" xfId="3226" builtinId="9" hidden="1"/>
    <cellStyle name="Gevolgde hyperlink" xfId="3230" builtinId="9" hidden="1"/>
    <cellStyle name="Gevolgde hyperlink" xfId="3234" builtinId="9" hidden="1"/>
    <cellStyle name="Gevolgde hyperlink" xfId="3238" builtinId="9" hidden="1"/>
    <cellStyle name="Gevolgde hyperlink" xfId="3242" builtinId="9" hidden="1"/>
    <cellStyle name="Gevolgde hyperlink" xfId="3246" builtinId="9" hidden="1"/>
    <cellStyle name="Gevolgde hyperlink" xfId="3250" builtinId="9" hidden="1"/>
    <cellStyle name="Gevolgde hyperlink" xfId="3254" builtinId="9" hidden="1"/>
    <cellStyle name="Gevolgde hyperlink" xfId="3258" builtinId="9" hidden="1"/>
    <cellStyle name="Gevolgde hyperlink" xfId="3262" builtinId="9" hidden="1"/>
    <cellStyle name="Gevolgde hyperlink" xfId="3266" builtinId="9" hidden="1"/>
    <cellStyle name="Gevolgde hyperlink" xfId="3270" builtinId="9" hidden="1"/>
    <cellStyle name="Gevolgde hyperlink" xfId="3274" builtinId="9" hidden="1"/>
    <cellStyle name="Gevolgde hyperlink" xfId="3278" builtinId="9" hidden="1"/>
    <cellStyle name="Gevolgde hyperlink" xfId="3282" builtinId="9" hidden="1"/>
    <cellStyle name="Gevolgde hyperlink" xfId="3286" builtinId="9" hidden="1"/>
    <cellStyle name="Gevolgde hyperlink" xfId="3290" builtinId="9" hidden="1"/>
    <cellStyle name="Gevolgde hyperlink" xfId="3294" builtinId="9" hidden="1"/>
    <cellStyle name="Gevolgde hyperlink" xfId="3298" builtinId="9" hidden="1"/>
    <cellStyle name="Gevolgde hyperlink" xfId="3302" builtinId="9" hidden="1"/>
    <cellStyle name="Gevolgde hyperlink" xfId="3306" builtinId="9" hidden="1"/>
    <cellStyle name="Gevolgde hyperlink" xfId="3310" builtinId="9" hidden="1"/>
    <cellStyle name="Gevolgde hyperlink" xfId="3314" builtinId="9" hidden="1"/>
    <cellStyle name="Gevolgde hyperlink" xfId="3318" builtinId="9" hidden="1"/>
    <cellStyle name="Gevolgde hyperlink" xfId="3320" builtinId="9" hidden="1"/>
    <cellStyle name="Gevolgde hyperlink" xfId="3316" builtinId="9" hidden="1"/>
    <cellStyle name="Gevolgde hyperlink" xfId="3312" builtinId="9" hidden="1"/>
    <cellStyle name="Gevolgde hyperlink" xfId="3308" builtinId="9" hidden="1"/>
    <cellStyle name="Gevolgde hyperlink" xfId="3304" builtinId="9" hidden="1"/>
    <cellStyle name="Gevolgde hyperlink" xfId="3300" builtinId="9" hidden="1"/>
    <cellStyle name="Gevolgde hyperlink" xfId="3296" builtinId="9" hidden="1"/>
    <cellStyle name="Gevolgde hyperlink" xfId="3292" builtinId="9" hidden="1"/>
    <cellStyle name="Gevolgde hyperlink" xfId="3288" builtinId="9" hidden="1"/>
    <cellStyle name="Gevolgde hyperlink" xfId="3284" builtinId="9" hidden="1"/>
    <cellStyle name="Gevolgde hyperlink" xfId="3280" builtinId="9" hidden="1"/>
    <cellStyle name="Gevolgde hyperlink" xfId="3276" builtinId="9" hidden="1"/>
    <cellStyle name="Gevolgde hyperlink" xfId="3272" builtinId="9" hidden="1"/>
    <cellStyle name="Gevolgde hyperlink" xfId="3268" builtinId="9" hidden="1"/>
    <cellStyle name="Gevolgde hyperlink" xfId="3264" builtinId="9" hidden="1"/>
    <cellStyle name="Gevolgde hyperlink" xfId="3260" builtinId="9" hidden="1"/>
    <cellStyle name="Gevolgde hyperlink" xfId="3256" builtinId="9" hidden="1"/>
    <cellStyle name="Gevolgde hyperlink" xfId="3252" builtinId="9" hidden="1"/>
    <cellStyle name="Gevolgde hyperlink" xfId="3248" builtinId="9" hidden="1"/>
    <cellStyle name="Gevolgde hyperlink" xfId="3244" builtinId="9" hidden="1"/>
    <cellStyle name="Gevolgde hyperlink" xfId="3240" builtinId="9" hidden="1"/>
    <cellStyle name="Gevolgde hyperlink" xfId="3236" builtinId="9" hidden="1"/>
    <cellStyle name="Gevolgde hyperlink" xfId="3232" builtinId="9" hidden="1"/>
    <cellStyle name="Gevolgde hyperlink" xfId="3228" builtinId="9" hidden="1"/>
    <cellStyle name="Gevolgde hyperlink" xfId="3224" builtinId="9" hidden="1"/>
    <cellStyle name="Gevolgde hyperlink" xfId="3220" builtinId="9" hidden="1"/>
    <cellStyle name="Gevolgde hyperlink" xfId="3216" builtinId="9" hidden="1"/>
    <cellStyle name="Gevolgde hyperlink" xfId="3212" builtinId="9" hidden="1"/>
    <cellStyle name="Gevolgde hyperlink" xfId="3208" builtinId="9" hidden="1"/>
    <cellStyle name="Gevolgde hyperlink" xfId="3204" builtinId="9" hidden="1"/>
    <cellStyle name="Gevolgde hyperlink" xfId="3200" builtinId="9" hidden="1"/>
    <cellStyle name="Gevolgde hyperlink" xfId="3196" builtinId="9" hidden="1"/>
    <cellStyle name="Gevolgde hyperlink" xfId="3192" builtinId="9" hidden="1"/>
    <cellStyle name="Gevolgde hyperlink" xfId="3188" builtinId="9" hidden="1"/>
    <cellStyle name="Gevolgde hyperlink" xfId="3184" builtinId="9" hidden="1"/>
    <cellStyle name="Gevolgde hyperlink" xfId="3180" builtinId="9" hidden="1"/>
    <cellStyle name="Gevolgde hyperlink" xfId="3176" builtinId="9" hidden="1"/>
    <cellStyle name="Gevolgde hyperlink" xfId="3172" builtinId="9" hidden="1"/>
    <cellStyle name="Gevolgde hyperlink" xfId="3168" builtinId="9" hidden="1"/>
    <cellStyle name="Gevolgde hyperlink" xfId="3164" builtinId="9" hidden="1"/>
    <cellStyle name="Gevolgde hyperlink" xfId="3160" builtinId="9" hidden="1"/>
    <cellStyle name="Gevolgde hyperlink" xfId="3156" builtinId="9" hidden="1"/>
    <cellStyle name="Gevolgde hyperlink" xfId="3152" builtinId="9" hidden="1"/>
    <cellStyle name="Gevolgde hyperlink" xfId="3148" builtinId="9" hidden="1"/>
    <cellStyle name="Gevolgde hyperlink" xfId="3144" builtinId="9" hidden="1"/>
    <cellStyle name="Gevolgde hyperlink" xfId="3140" builtinId="9" hidden="1"/>
    <cellStyle name="Gevolgde hyperlink" xfId="3136" builtinId="9" hidden="1"/>
    <cellStyle name="Gevolgde hyperlink" xfId="3132" builtinId="9" hidden="1"/>
    <cellStyle name="Gevolgde hyperlink" xfId="3128" builtinId="9" hidden="1"/>
    <cellStyle name="Gevolgde hyperlink" xfId="3124" builtinId="9" hidden="1"/>
    <cellStyle name="Gevolgde hyperlink" xfId="3120" builtinId="9" hidden="1"/>
    <cellStyle name="Gevolgde hyperlink" xfId="3116" builtinId="9" hidden="1"/>
    <cellStyle name="Gevolgde hyperlink" xfId="3112" builtinId="9" hidden="1"/>
    <cellStyle name="Gevolgde hyperlink" xfId="3108" builtinId="9" hidden="1"/>
    <cellStyle name="Gevolgde hyperlink" xfId="3104" builtinId="9" hidden="1"/>
    <cellStyle name="Gevolgde hyperlink" xfId="3100" builtinId="9" hidden="1"/>
    <cellStyle name="Gevolgde hyperlink" xfId="3096" builtinId="9" hidden="1"/>
    <cellStyle name="Gevolgde hyperlink" xfId="3092" builtinId="9" hidden="1"/>
    <cellStyle name="Gevolgde hyperlink" xfId="3088" builtinId="9" hidden="1"/>
    <cellStyle name="Gevolgde hyperlink" xfId="3084" builtinId="9" hidden="1"/>
    <cellStyle name="Gevolgde hyperlink" xfId="3080" builtinId="9" hidden="1"/>
    <cellStyle name="Gevolgde hyperlink" xfId="3076" builtinId="9" hidden="1"/>
    <cellStyle name="Gevolgde hyperlink" xfId="3072" builtinId="9" hidden="1"/>
    <cellStyle name="Gevolgde hyperlink" xfId="3068" builtinId="9" hidden="1"/>
    <cellStyle name="Gevolgde hyperlink" xfId="3064" builtinId="9" hidden="1"/>
    <cellStyle name="Gevolgde hyperlink" xfId="3060" builtinId="9" hidden="1"/>
    <cellStyle name="Gevolgde hyperlink" xfId="3056" builtinId="9" hidden="1"/>
    <cellStyle name="Gevolgde hyperlink" xfId="3052" builtinId="9" hidden="1"/>
    <cellStyle name="Gevolgde hyperlink" xfId="3048" builtinId="9" hidden="1"/>
    <cellStyle name="Gevolgde hyperlink" xfId="3044" builtinId="9" hidden="1"/>
    <cellStyle name="Gevolgde hyperlink" xfId="3040" builtinId="9" hidden="1"/>
    <cellStyle name="Gevolgde hyperlink" xfId="3036" builtinId="9" hidden="1"/>
    <cellStyle name="Gevolgde hyperlink" xfId="3032" builtinId="9" hidden="1"/>
    <cellStyle name="Gevolgde hyperlink" xfId="3028" builtinId="9" hidden="1"/>
    <cellStyle name="Gevolgde hyperlink" xfId="3024" builtinId="9" hidden="1"/>
    <cellStyle name="Gevolgde hyperlink" xfId="3020" builtinId="9" hidden="1"/>
    <cellStyle name="Gevolgde hyperlink" xfId="3016" builtinId="9" hidden="1"/>
    <cellStyle name="Gevolgde hyperlink" xfId="3012" builtinId="9" hidden="1"/>
    <cellStyle name="Gevolgde hyperlink" xfId="3008" builtinId="9" hidden="1"/>
    <cellStyle name="Gevolgde hyperlink" xfId="3004" builtinId="9" hidden="1"/>
    <cellStyle name="Gevolgde hyperlink" xfId="3000" builtinId="9" hidden="1"/>
    <cellStyle name="Gevolgde hyperlink" xfId="2996" builtinId="9" hidden="1"/>
    <cellStyle name="Gevolgde hyperlink" xfId="2992" builtinId="9" hidden="1"/>
    <cellStyle name="Gevolgde hyperlink" xfId="2988" builtinId="9" hidden="1"/>
    <cellStyle name="Gevolgde hyperlink" xfId="2984" builtinId="9" hidden="1"/>
    <cellStyle name="Gevolgde hyperlink" xfId="2980" builtinId="9" hidden="1"/>
    <cellStyle name="Gevolgde hyperlink" xfId="2976" builtinId="9" hidden="1"/>
    <cellStyle name="Gevolgde hyperlink" xfId="2972" builtinId="9" hidden="1"/>
    <cellStyle name="Gevolgde hyperlink" xfId="2968" builtinId="9" hidden="1"/>
    <cellStyle name="Gevolgde hyperlink" xfId="2964" builtinId="9" hidden="1"/>
    <cellStyle name="Gevolgde hyperlink" xfId="2960" builtinId="9" hidden="1"/>
    <cellStyle name="Gevolgde hyperlink" xfId="2956" builtinId="9" hidden="1"/>
    <cellStyle name="Gevolgde hyperlink" xfId="2952" builtinId="9" hidden="1"/>
    <cellStyle name="Gevolgde hyperlink" xfId="2948" builtinId="9" hidden="1"/>
    <cellStyle name="Gevolgde hyperlink" xfId="2944" builtinId="9" hidden="1"/>
    <cellStyle name="Gevolgde hyperlink" xfId="2940" builtinId="9" hidden="1"/>
    <cellStyle name="Gevolgde hyperlink" xfId="2936" builtinId="9" hidden="1"/>
    <cellStyle name="Gevolgde hyperlink" xfId="2932" builtinId="9" hidden="1"/>
    <cellStyle name="Gevolgde hyperlink" xfId="2928" builtinId="9" hidden="1"/>
    <cellStyle name="Gevolgde hyperlink" xfId="2924" builtinId="9" hidden="1"/>
    <cellStyle name="Gevolgde hyperlink" xfId="2920" builtinId="9" hidden="1"/>
    <cellStyle name="Gevolgde hyperlink" xfId="2916" builtinId="9" hidden="1"/>
    <cellStyle name="Gevolgde hyperlink" xfId="2912" builtinId="9" hidden="1"/>
    <cellStyle name="Gevolgde hyperlink" xfId="2908" builtinId="9" hidden="1"/>
    <cellStyle name="Gevolgde hyperlink" xfId="2904" builtinId="9" hidden="1"/>
    <cellStyle name="Gevolgde hyperlink" xfId="2900" builtinId="9" hidden="1"/>
    <cellStyle name="Gevolgde hyperlink" xfId="2896" builtinId="9" hidden="1"/>
    <cellStyle name="Gevolgde hyperlink" xfId="2892" builtinId="9" hidden="1"/>
    <cellStyle name="Gevolgde hyperlink" xfId="2888" builtinId="9" hidden="1"/>
    <cellStyle name="Gevolgde hyperlink" xfId="2884" builtinId="9" hidden="1"/>
    <cellStyle name="Gevolgde hyperlink" xfId="2880" builtinId="9" hidden="1"/>
    <cellStyle name="Gevolgde hyperlink" xfId="2876" builtinId="9" hidden="1"/>
    <cellStyle name="Gevolgde hyperlink" xfId="2872" builtinId="9" hidden="1"/>
    <cellStyle name="Gevolgde hyperlink" xfId="2868" builtinId="9" hidden="1"/>
    <cellStyle name="Gevolgde hyperlink" xfId="2864" builtinId="9" hidden="1"/>
    <cellStyle name="Gevolgde hyperlink" xfId="2860" builtinId="9" hidden="1"/>
    <cellStyle name="Gevolgde hyperlink" xfId="2856" builtinId="9" hidden="1"/>
    <cellStyle name="Gevolgde hyperlink" xfId="2852" builtinId="9" hidden="1"/>
    <cellStyle name="Gevolgde hyperlink" xfId="2848" builtinId="9" hidden="1"/>
    <cellStyle name="Gevolgde hyperlink" xfId="2844" builtinId="9" hidden="1"/>
    <cellStyle name="Gevolgde hyperlink" xfId="2840" builtinId="9" hidden="1"/>
    <cellStyle name="Gevolgde hyperlink" xfId="2836" builtinId="9" hidden="1"/>
    <cellStyle name="Gevolgde hyperlink" xfId="2832" builtinId="9" hidden="1"/>
    <cellStyle name="Gevolgde hyperlink" xfId="2828" builtinId="9" hidden="1"/>
    <cellStyle name="Gevolgde hyperlink" xfId="2824" builtinId="9" hidden="1"/>
    <cellStyle name="Gevolgde hyperlink" xfId="2820" builtinId="9" hidden="1"/>
    <cellStyle name="Gevolgde hyperlink" xfId="2816" builtinId="9" hidden="1"/>
    <cellStyle name="Gevolgde hyperlink" xfId="2812" builtinId="9" hidden="1"/>
    <cellStyle name="Gevolgde hyperlink" xfId="2808" builtinId="9" hidden="1"/>
    <cellStyle name="Gevolgde hyperlink" xfId="2804" builtinId="9" hidden="1"/>
    <cellStyle name="Gevolgde hyperlink" xfId="2800" builtinId="9" hidden="1"/>
    <cellStyle name="Gevolgde hyperlink" xfId="2796" builtinId="9" hidden="1"/>
    <cellStyle name="Gevolgde hyperlink" xfId="2792" builtinId="9" hidden="1"/>
    <cellStyle name="Gevolgde hyperlink" xfId="2788" builtinId="9" hidden="1"/>
    <cellStyle name="Gevolgde hyperlink" xfId="2784" builtinId="9" hidden="1"/>
    <cellStyle name="Gevolgde hyperlink" xfId="2780" builtinId="9" hidden="1"/>
    <cellStyle name="Gevolgde hyperlink" xfId="2776" builtinId="9" hidden="1"/>
    <cellStyle name="Gevolgde hyperlink" xfId="2772" builtinId="9" hidden="1"/>
    <cellStyle name="Gevolgde hyperlink" xfId="2768" builtinId="9" hidden="1"/>
    <cellStyle name="Gevolgde hyperlink" xfId="2764" builtinId="9" hidden="1"/>
    <cellStyle name="Gevolgde hyperlink" xfId="2760" builtinId="9" hidden="1"/>
    <cellStyle name="Gevolgde hyperlink" xfId="2756" builtinId="9" hidden="1"/>
    <cellStyle name="Gevolgde hyperlink" xfId="2752" builtinId="9" hidden="1"/>
    <cellStyle name="Gevolgde hyperlink" xfId="2748" builtinId="9" hidden="1"/>
    <cellStyle name="Gevolgde hyperlink" xfId="2744" builtinId="9" hidden="1"/>
    <cellStyle name="Gevolgde hyperlink" xfId="2740" builtinId="9" hidden="1"/>
    <cellStyle name="Gevolgde hyperlink" xfId="2736" builtinId="9" hidden="1"/>
    <cellStyle name="Gevolgde hyperlink" xfId="2732" builtinId="9" hidden="1"/>
    <cellStyle name="Gevolgde hyperlink" xfId="2728" builtinId="9" hidden="1"/>
    <cellStyle name="Gevolgde hyperlink" xfId="2724" builtinId="9" hidden="1"/>
    <cellStyle name="Gevolgde hyperlink" xfId="2720" builtinId="9" hidden="1"/>
    <cellStyle name="Gevolgde hyperlink" xfId="2716" builtinId="9" hidden="1"/>
    <cellStyle name="Gevolgde hyperlink" xfId="2712" builtinId="9" hidden="1"/>
    <cellStyle name="Gevolgde hyperlink" xfId="2708" builtinId="9" hidden="1"/>
    <cellStyle name="Gevolgde hyperlink" xfId="2704" builtinId="9" hidden="1"/>
    <cellStyle name="Gevolgde hyperlink" xfId="2700" builtinId="9" hidden="1"/>
    <cellStyle name="Gevolgde hyperlink" xfId="2696" builtinId="9" hidden="1"/>
    <cellStyle name="Gevolgde hyperlink" xfId="2692" builtinId="9" hidden="1"/>
    <cellStyle name="Gevolgde hyperlink" xfId="2688" builtinId="9" hidden="1"/>
    <cellStyle name="Gevolgde hyperlink" xfId="2684" builtinId="9" hidden="1"/>
    <cellStyle name="Gevolgde hyperlink" xfId="2680" builtinId="9" hidden="1"/>
    <cellStyle name="Gevolgde hyperlink" xfId="2676" builtinId="9" hidden="1"/>
    <cellStyle name="Gevolgde hyperlink" xfId="2672" builtinId="9" hidden="1"/>
    <cellStyle name="Gevolgde hyperlink" xfId="2668" builtinId="9" hidden="1"/>
    <cellStyle name="Gevolgde hyperlink" xfId="2664" builtinId="9" hidden="1"/>
    <cellStyle name="Gevolgde hyperlink" xfId="2660" builtinId="9" hidden="1"/>
    <cellStyle name="Gevolgde hyperlink" xfId="2656" builtinId="9" hidden="1"/>
    <cellStyle name="Gevolgde hyperlink" xfId="2652" builtinId="9" hidden="1"/>
    <cellStyle name="Gevolgde hyperlink" xfId="2648" builtinId="9" hidden="1"/>
    <cellStyle name="Gevolgde hyperlink" xfId="2644" builtinId="9" hidden="1"/>
    <cellStyle name="Gevolgde hyperlink" xfId="2640" builtinId="9" hidden="1"/>
    <cellStyle name="Gevolgde hyperlink" xfId="2636" builtinId="9" hidden="1"/>
    <cellStyle name="Gevolgde hyperlink" xfId="2632" builtinId="9" hidden="1"/>
    <cellStyle name="Gevolgde hyperlink" xfId="2628" builtinId="9" hidden="1"/>
    <cellStyle name="Gevolgde hyperlink" xfId="2624" builtinId="9" hidden="1"/>
    <cellStyle name="Gevolgde hyperlink" xfId="2620" builtinId="9" hidden="1"/>
    <cellStyle name="Gevolgde hyperlink" xfId="2508" builtinId="9" hidden="1"/>
    <cellStyle name="Gevolgde hyperlink" xfId="2503" builtinId="9" hidden="1"/>
    <cellStyle name="Gevolgde hyperlink" xfId="2499" builtinId="9" hidden="1"/>
    <cellStyle name="Gevolgde hyperlink" xfId="2495" builtinId="9" hidden="1"/>
    <cellStyle name="Gevolgde hyperlink" xfId="2491" builtinId="9" hidden="1"/>
    <cellStyle name="Gevolgde hyperlink" xfId="2487" builtinId="9" hidden="1"/>
    <cellStyle name="Gevolgde hyperlink" xfId="2483" builtinId="9" hidden="1"/>
    <cellStyle name="Gevolgde hyperlink" xfId="2479" builtinId="9" hidden="1"/>
    <cellStyle name="Gevolgde hyperlink" xfId="2475" builtinId="9" hidden="1"/>
    <cellStyle name="Gevolgde hyperlink" xfId="2471" builtinId="9" hidden="1"/>
    <cellStyle name="Gevolgde hyperlink" xfId="2467" builtinId="9" hidden="1"/>
    <cellStyle name="Gevolgde hyperlink" xfId="2463" builtinId="9" hidden="1"/>
    <cellStyle name="Gevolgde hyperlink" xfId="2459" builtinId="9" hidden="1"/>
    <cellStyle name="Gevolgde hyperlink" xfId="2455" builtinId="9" hidden="1"/>
    <cellStyle name="Gevolgde hyperlink" xfId="2451" builtinId="9" hidden="1"/>
    <cellStyle name="Gevolgde hyperlink" xfId="2447" builtinId="9" hidden="1"/>
    <cellStyle name="Gevolgde hyperlink" xfId="2443" builtinId="9" hidden="1"/>
    <cellStyle name="Gevolgde hyperlink" xfId="2439" builtinId="9" hidden="1"/>
    <cellStyle name="Gevolgde hyperlink" xfId="2435" builtinId="9" hidden="1"/>
    <cellStyle name="Gevolgde hyperlink" xfId="2431" builtinId="9" hidden="1"/>
    <cellStyle name="Gevolgde hyperlink" xfId="2427" builtinId="9" hidden="1"/>
    <cellStyle name="Gevolgde hyperlink" xfId="2423" builtinId="9" hidden="1"/>
    <cellStyle name="Gevolgde hyperlink" xfId="2419" builtinId="9" hidden="1"/>
    <cellStyle name="Gevolgde hyperlink" xfId="2415" builtinId="9" hidden="1"/>
    <cellStyle name="Gevolgde hyperlink" xfId="2411" builtinId="9" hidden="1"/>
    <cellStyle name="Gevolgde hyperlink" xfId="2407" builtinId="9" hidden="1"/>
    <cellStyle name="Gevolgde hyperlink" xfId="2403" builtinId="9" hidden="1"/>
    <cellStyle name="Gevolgde hyperlink" xfId="2399" builtinId="9" hidden="1"/>
    <cellStyle name="Gevolgde hyperlink" xfId="2395" builtinId="9" hidden="1"/>
    <cellStyle name="Gevolgde hyperlink" xfId="2391" builtinId="9" hidden="1"/>
    <cellStyle name="Gevolgde hyperlink" xfId="2387" builtinId="9" hidden="1"/>
    <cellStyle name="Gevolgde hyperlink" xfId="2383" builtinId="9" hidden="1"/>
    <cellStyle name="Gevolgde hyperlink" xfId="2379" builtinId="9" hidden="1"/>
    <cellStyle name="Gevolgde hyperlink" xfId="2375" builtinId="9" hidden="1"/>
    <cellStyle name="Gevolgde hyperlink" xfId="2371" builtinId="9" hidden="1"/>
    <cellStyle name="Gevolgde hyperlink" xfId="2367" builtinId="9" hidden="1"/>
    <cellStyle name="Gevolgde hyperlink" xfId="2363" builtinId="9" hidden="1"/>
    <cellStyle name="Gevolgde hyperlink" xfId="2359" builtinId="9" hidden="1"/>
    <cellStyle name="Gevolgde hyperlink" xfId="2355" builtinId="9" hidden="1"/>
    <cellStyle name="Gevolgde hyperlink" xfId="2351" builtinId="9" hidden="1"/>
    <cellStyle name="Gevolgde hyperlink" xfId="2347" builtinId="9" hidden="1"/>
    <cellStyle name="Gevolgde hyperlink" xfId="2343" builtinId="9" hidden="1"/>
    <cellStyle name="Gevolgde hyperlink" xfId="2339" builtinId="9" hidden="1"/>
    <cellStyle name="Gevolgde hyperlink" xfId="2335" builtinId="9" hidden="1"/>
    <cellStyle name="Gevolgde hyperlink" xfId="2331" builtinId="9" hidden="1"/>
    <cellStyle name="Gevolgde hyperlink" xfId="2327" builtinId="9" hidden="1"/>
    <cellStyle name="Gevolgde hyperlink" xfId="2323" builtinId="9" hidden="1"/>
    <cellStyle name="Gevolgde hyperlink" xfId="2319" builtinId="9" hidden="1"/>
    <cellStyle name="Gevolgde hyperlink" xfId="2315" builtinId="9" hidden="1"/>
    <cellStyle name="Gevolgde hyperlink" xfId="2311" builtinId="9" hidden="1"/>
    <cellStyle name="Gevolgde hyperlink" xfId="2307" builtinId="9" hidden="1"/>
    <cellStyle name="Gevolgde hyperlink" xfId="2303" builtinId="9" hidden="1"/>
    <cellStyle name="Gevolgde hyperlink" xfId="2299" builtinId="9" hidden="1"/>
    <cellStyle name="Gevolgde hyperlink" xfId="2295" builtinId="9" hidden="1"/>
    <cellStyle name="Gevolgde hyperlink" xfId="2291" builtinId="9" hidden="1"/>
    <cellStyle name="Gevolgde hyperlink" xfId="2287" builtinId="9" hidden="1"/>
    <cellStyle name="Gevolgde hyperlink" xfId="2283" builtinId="9" hidden="1"/>
    <cellStyle name="Gevolgde hyperlink" xfId="2279" builtinId="9" hidden="1"/>
    <cellStyle name="Gevolgde hyperlink" xfId="2275" builtinId="9" hidden="1"/>
    <cellStyle name="Gevolgde hyperlink" xfId="2271" builtinId="9" hidden="1"/>
    <cellStyle name="Gevolgde hyperlink" xfId="2267" builtinId="9" hidden="1"/>
    <cellStyle name="Gevolgde hyperlink" xfId="2263" builtinId="9" hidden="1"/>
    <cellStyle name="Gevolgde hyperlink" xfId="2259" builtinId="9" hidden="1"/>
    <cellStyle name="Gevolgde hyperlink" xfId="2255" builtinId="9" hidden="1"/>
    <cellStyle name="Gevolgde hyperlink" xfId="2251" builtinId="9" hidden="1"/>
    <cellStyle name="Gevolgde hyperlink" xfId="2247" builtinId="9" hidden="1"/>
    <cellStyle name="Gevolgde hyperlink" xfId="2243" builtinId="9" hidden="1"/>
    <cellStyle name="Gevolgde hyperlink" xfId="2239" builtinId="9" hidden="1"/>
    <cellStyle name="Gevolgde hyperlink" xfId="2235" builtinId="9" hidden="1"/>
    <cellStyle name="Gevolgde hyperlink" xfId="2231" builtinId="9" hidden="1"/>
    <cellStyle name="Gevolgde hyperlink" xfId="2227" builtinId="9" hidden="1"/>
    <cellStyle name="Gevolgde hyperlink" xfId="2223" builtinId="9" hidden="1"/>
    <cellStyle name="Gevolgde hyperlink" xfId="2219" builtinId="9" hidden="1"/>
    <cellStyle name="Gevolgde hyperlink" xfId="2215" builtinId="9" hidden="1"/>
    <cellStyle name="Gevolgde hyperlink" xfId="2211" builtinId="9" hidden="1"/>
    <cellStyle name="Gevolgde hyperlink" xfId="2207" builtinId="9" hidden="1"/>
    <cellStyle name="Gevolgde hyperlink" xfId="2203" builtinId="9" hidden="1"/>
    <cellStyle name="Gevolgde hyperlink" xfId="2199" builtinId="9" hidden="1"/>
    <cellStyle name="Gevolgde hyperlink" xfId="2195" builtinId="9" hidden="1"/>
    <cellStyle name="Gevolgde hyperlink" xfId="2191" builtinId="9" hidden="1"/>
    <cellStyle name="Gevolgde hyperlink" xfId="2187" builtinId="9" hidden="1"/>
    <cellStyle name="Gevolgde hyperlink" xfId="2183" builtinId="9" hidden="1"/>
    <cellStyle name="Gevolgde hyperlink" xfId="2179" builtinId="9" hidden="1"/>
    <cellStyle name="Gevolgde hyperlink" xfId="2175" builtinId="9" hidden="1"/>
    <cellStyle name="Gevolgde hyperlink" xfId="2171" builtinId="9" hidden="1"/>
    <cellStyle name="Gevolgde hyperlink" xfId="2167" builtinId="9" hidden="1"/>
    <cellStyle name="Gevolgde hyperlink" xfId="2163" builtinId="9" hidden="1"/>
    <cellStyle name="Gevolgde hyperlink" xfId="2159" builtinId="9" hidden="1"/>
    <cellStyle name="Gevolgde hyperlink" xfId="2155" builtinId="9" hidden="1"/>
    <cellStyle name="Gevolgde hyperlink" xfId="2151" builtinId="9" hidden="1"/>
    <cellStyle name="Gevolgde hyperlink" xfId="2147" builtinId="9" hidden="1"/>
    <cellStyle name="Gevolgde hyperlink" xfId="2143" builtinId="9" hidden="1"/>
    <cellStyle name="Gevolgde hyperlink" xfId="2139" builtinId="9" hidden="1"/>
    <cellStyle name="Gevolgde hyperlink" xfId="2135" builtinId="9" hidden="1"/>
    <cellStyle name="Gevolgde hyperlink" xfId="2131" builtinId="9" hidden="1"/>
    <cellStyle name="Gevolgde hyperlink" xfId="2127" builtinId="9" hidden="1"/>
    <cellStyle name="Gevolgde hyperlink" xfId="2123" builtinId="9" hidden="1"/>
    <cellStyle name="Gevolgde hyperlink" xfId="2119" builtinId="9" hidden="1"/>
    <cellStyle name="Gevolgde hyperlink" xfId="2115" builtinId="9" hidden="1"/>
    <cellStyle name="Gevolgde hyperlink" xfId="2111" builtinId="9" hidden="1"/>
    <cellStyle name="Gevolgde hyperlink" xfId="2107" builtinId="9" hidden="1"/>
    <cellStyle name="Gevolgde hyperlink" xfId="2103" builtinId="9" hidden="1"/>
    <cellStyle name="Gevolgde hyperlink" xfId="2099" builtinId="9" hidden="1"/>
    <cellStyle name="Gevolgde hyperlink" xfId="2095" builtinId="9" hidden="1"/>
    <cellStyle name="Gevolgde hyperlink" xfId="2091" builtinId="9" hidden="1"/>
    <cellStyle name="Gevolgde hyperlink" xfId="2087" builtinId="9" hidden="1"/>
    <cellStyle name="Gevolgde hyperlink" xfId="2083" builtinId="9" hidden="1"/>
    <cellStyle name="Gevolgde hyperlink" xfId="2079" builtinId="9" hidden="1"/>
    <cellStyle name="Gevolgde hyperlink" xfId="2075" builtinId="9" hidden="1"/>
    <cellStyle name="Gevolgde hyperlink" xfId="2071" builtinId="9" hidden="1"/>
    <cellStyle name="Gevolgde hyperlink" xfId="2067" builtinId="9" hidden="1"/>
    <cellStyle name="Gevolgde hyperlink" xfId="2063" builtinId="9" hidden="1"/>
    <cellStyle name="Gevolgde hyperlink" xfId="2059" builtinId="9" hidden="1"/>
    <cellStyle name="Gevolgde hyperlink" xfId="2055" builtinId="9" hidden="1"/>
    <cellStyle name="Gevolgde hyperlink" xfId="2051" builtinId="9" hidden="1"/>
    <cellStyle name="Gevolgde hyperlink" xfId="2047" builtinId="9" hidden="1"/>
    <cellStyle name="Gevolgde hyperlink" xfId="2043" builtinId="9" hidden="1"/>
    <cellStyle name="Gevolgde hyperlink" xfId="2039" builtinId="9" hidden="1"/>
    <cellStyle name="Gevolgde hyperlink" xfId="2035" builtinId="9" hidden="1"/>
    <cellStyle name="Gevolgde hyperlink" xfId="2031" builtinId="9" hidden="1"/>
    <cellStyle name="Gevolgde hyperlink" xfId="2027" builtinId="9" hidden="1"/>
    <cellStyle name="Gevolgde hyperlink" xfId="2023" builtinId="9" hidden="1"/>
    <cellStyle name="Gevolgde hyperlink" xfId="2019" builtinId="9" hidden="1"/>
    <cellStyle name="Gevolgde hyperlink" xfId="2015" builtinId="9" hidden="1"/>
    <cellStyle name="Gevolgde hyperlink" xfId="2011" builtinId="9" hidden="1"/>
    <cellStyle name="Gevolgde hyperlink" xfId="2007" builtinId="9" hidden="1"/>
    <cellStyle name="Gevolgde hyperlink" xfId="2003" builtinId="9" hidden="1"/>
    <cellStyle name="Gevolgde hyperlink" xfId="1999" builtinId="9" hidden="1"/>
    <cellStyle name="Gevolgde hyperlink" xfId="1995" builtinId="9" hidden="1"/>
    <cellStyle name="Gevolgde hyperlink" xfId="1991" builtinId="9" hidden="1"/>
    <cellStyle name="Gevolgde hyperlink" xfId="1987" builtinId="9" hidden="1"/>
    <cellStyle name="Gevolgde hyperlink" xfId="1983" builtinId="9" hidden="1"/>
    <cellStyle name="Gevolgde hyperlink" xfId="1979" builtinId="9" hidden="1"/>
    <cellStyle name="Gevolgde hyperlink" xfId="1975" builtinId="9" hidden="1"/>
    <cellStyle name="Gevolgde hyperlink" xfId="1971" builtinId="9" hidden="1"/>
    <cellStyle name="Gevolgde hyperlink" xfId="1967" builtinId="9" hidden="1"/>
    <cellStyle name="Gevolgde hyperlink" xfId="1963" builtinId="9" hidden="1"/>
    <cellStyle name="Gevolgde hyperlink" xfId="1959" builtinId="9" hidden="1"/>
    <cellStyle name="Gevolgde hyperlink" xfId="1955" builtinId="9" hidden="1"/>
    <cellStyle name="Gevolgde hyperlink" xfId="1951" builtinId="9" hidden="1"/>
    <cellStyle name="Gevolgde hyperlink" xfId="1947" builtinId="9" hidden="1"/>
    <cellStyle name="Gevolgde hyperlink" xfId="1943" builtinId="9" hidden="1"/>
    <cellStyle name="Gevolgde hyperlink" xfId="1939" builtinId="9" hidden="1"/>
    <cellStyle name="Gevolgde hyperlink" xfId="1935" builtinId="9" hidden="1"/>
    <cellStyle name="Gevolgde hyperlink" xfId="1931" builtinId="9" hidden="1"/>
    <cellStyle name="Gevolgde hyperlink" xfId="1927" builtinId="9" hidden="1"/>
    <cellStyle name="Gevolgde hyperlink" xfId="1923" builtinId="9" hidden="1"/>
    <cellStyle name="Gevolgde hyperlink" xfId="1919" builtinId="9" hidden="1"/>
    <cellStyle name="Gevolgde hyperlink" xfId="1915" builtinId="9" hidden="1"/>
    <cellStyle name="Gevolgde hyperlink" xfId="1911" builtinId="9" hidden="1"/>
    <cellStyle name="Gevolgde hyperlink" xfId="1907" builtinId="9" hidden="1"/>
    <cellStyle name="Gevolgde hyperlink" xfId="1903" builtinId="9" hidden="1"/>
    <cellStyle name="Gevolgde hyperlink" xfId="1899" builtinId="9" hidden="1"/>
    <cellStyle name="Gevolgde hyperlink" xfId="1895" builtinId="9" hidden="1"/>
    <cellStyle name="Gevolgde hyperlink" xfId="1891" builtinId="9" hidden="1"/>
    <cellStyle name="Gevolgde hyperlink" xfId="1887" builtinId="9" hidden="1"/>
    <cellStyle name="Gevolgde hyperlink" xfId="1883" builtinId="9" hidden="1"/>
    <cellStyle name="Gevolgde hyperlink" xfId="1879" builtinId="9" hidden="1"/>
    <cellStyle name="Gevolgde hyperlink" xfId="1875" builtinId="9" hidden="1"/>
    <cellStyle name="Gevolgde hyperlink" xfId="1871" builtinId="9" hidden="1"/>
    <cellStyle name="Gevolgde hyperlink" xfId="1867" builtinId="9" hidden="1"/>
    <cellStyle name="Gevolgde hyperlink" xfId="1863" builtinId="9" hidden="1"/>
    <cellStyle name="Gevolgde hyperlink" xfId="1859" builtinId="9" hidden="1"/>
    <cellStyle name="Gevolgde hyperlink" xfId="1855" builtinId="9" hidden="1"/>
    <cellStyle name="Gevolgde hyperlink" xfId="1851" builtinId="9" hidden="1"/>
    <cellStyle name="Gevolgde hyperlink" xfId="1847" builtinId="9" hidden="1"/>
    <cellStyle name="Gevolgde hyperlink" xfId="1843" builtinId="9" hidden="1"/>
    <cellStyle name="Gevolgde hyperlink" xfId="1839" builtinId="9" hidden="1"/>
    <cellStyle name="Gevolgde hyperlink" xfId="1835" builtinId="9" hidden="1"/>
    <cellStyle name="Gevolgde hyperlink" xfId="1831" builtinId="9" hidden="1"/>
    <cellStyle name="Gevolgde hyperlink" xfId="1827" builtinId="9" hidden="1"/>
    <cellStyle name="Gevolgde hyperlink" xfId="1823" builtinId="9" hidden="1"/>
    <cellStyle name="Gevolgde hyperlink" xfId="1819" builtinId="9" hidden="1"/>
    <cellStyle name="Gevolgde hyperlink" xfId="1815" builtinId="9" hidden="1"/>
    <cellStyle name="Gevolgde hyperlink" xfId="1811" builtinId="9" hidden="1"/>
    <cellStyle name="Gevolgde hyperlink" xfId="1807" builtinId="9" hidden="1"/>
    <cellStyle name="Gevolgde hyperlink" xfId="1803" builtinId="9" hidden="1"/>
    <cellStyle name="Gevolgde hyperlink" xfId="1799" builtinId="9" hidden="1"/>
    <cellStyle name="Gevolgde hyperlink" xfId="1795" builtinId="9" hidden="1"/>
    <cellStyle name="Gevolgde hyperlink" xfId="1791" builtinId="9" hidden="1"/>
    <cellStyle name="Gevolgde hyperlink" xfId="1787" builtinId="9" hidden="1"/>
    <cellStyle name="Gevolgde hyperlink" xfId="1783" builtinId="9" hidden="1"/>
    <cellStyle name="Gevolgde hyperlink" xfId="1779" builtinId="9" hidden="1"/>
    <cellStyle name="Gevolgde hyperlink" xfId="1775" builtinId="9" hidden="1"/>
    <cellStyle name="Gevolgde hyperlink" xfId="1771" builtinId="9" hidden="1"/>
    <cellStyle name="Gevolgde hyperlink" xfId="1767" builtinId="9" hidden="1"/>
    <cellStyle name="Gevolgde hyperlink" xfId="1763" builtinId="9" hidden="1"/>
    <cellStyle name="Gevolgde hyperlink" xfId="1759" builtinId="9" hidden="1"/>
    <cellStyle name="Gevolgde hyperlink" xfId="1755" builtinId="9" hidden="1"/>
    <cellStyle name="Gevolgde hyperlink" xfId="1751" builtinId="9" hidden="1"/>
    <cellStyle name="Gevolgde hyperlink" xfId="1747" builtinId="9" hidden="1"/>
    <cellStyle name="Gevolgde hyperlink" xfId="1743" builtinId="9" hidden="1"/>
    <cellStyle name="Gevolgde hyperlink" xfId="1739" builtinId="9" hidden="1"/>
    <cellStyle name="Gevolgde hyperlink" xfId="1735" builtinId="9" hidden="1"/>
    <cellStyle name="Gevolgde hyperlink" xfId="1731" builtinId="9" hidden="1"/>
    <cellStyle name="Gevolgde hyperlink" xfId="1727" builtinId="9" hidden="1"/>
    <cellStyle name="Gevolgde hyperlink" xfId="1723" builtinId="9" hidden="1"/>
    <cellStyle name="Gevolgde hyperlink" xfId="1719" builtinId="9" hidden="1"/>
    <cellStyle name="Gevolgde hyperlink" xfId="1715" builtinId="9" hidden="1"/>
    <cellStyle name="Gevolgde hyperlink" xfId="1711" builtinId="9" hidden="1"/>
    <cellStyle name="Gevolgde hyperlink" xfId="1707" builtinId="9" hidden="1"/>
    <cellStyle name="Gevolgde hyperlink" xfId="1703" builtinId="9" hidden="1"/>
    <cellStyle name="Gevolgde hyperlink" xfId="1699" builtinId="9" hidden="1"/>
    <cellStyle name="Gevolgde hyperlink" xfId="1695" builtinId="9" hidden="1"/>
    <cellStyle name="Gevolgde hyperlink" xfId="1691" builtinId="9" hidden="1"/>
    <cellStyle name="Gevolgde hyperlink" xfId="1687" builtinId="9" hidden="1"/>
    <cellStyle name="Gevolgde hyperlink" xfId="1683" builtinId="9" hidden="1"/>
    <cellStyle name="Gevolgde hyperlink" xfId="1679" builtinId="9" hidden="1"/>
    <cellStyle name="Gevolgde hyperlink" xfId="1675" builtinId="9" hidden="1"/>
    <cellStyle name="Gevolgde hyperlink" xfId="1671" builtinId="9" hidden="1"/>
    <cellStyle name="Gevolgde hyperlink" xfId="1667" builtinId="9" hidden="1"/>
    <cellStyle name="Gevolgde hyperlink" xfId="1663" builtinId="9" hidden="1"/>
    <cellStyle name="Gevolgde hyperlink" xfId="1659" builtinId="9" hidden="1"/>
    <cellStyle name="Gevolgde hyperlink" xfId="1655" builtinId="9" hidden="1"/>
    <cellStyle name="Gevolgde hyperlink" xfId="1651" builtinId="9" hidden="1"/>
    <cellStyle name="Gevolgde hyperlink" xfId="1647" builtinId="9" hidden="1"/>
    <cellStyle name="Gevolgde hyperlink" xfId="1643" builtinId="9" hidden="1"/>
    <cellStyle name="Gevolgde hyperlink" xfId="1639" builtinId="9" hidden="1"/>
    <cellStyle name="Gevolgde hyperlink" xfId="1635" builtinId="9" hidden="1"/>
    <cellStyle name="Gevolgde hyperlink" xfId="1631" builtinId="9" hidden="1"/>
    <cellStyle name="Gevolgde hyperlink" xfId="1627" builtinId="9" hidden="1"/>
    <cellStyle name="Gevolgde hyperlink" xfId="1623" builtinId="9" hidden="1"/>
    <cellStyle name="Gevolgde hyperlink" xfId="1619" builtinId="9" hidden="1"/>
    <cellStyle name="Gevolgde hyperlink" xfId="1615" builtinId="9" hidden="1"/>
    <cellStyle name="Gevolgde hyperlink" xfId="1611" builtinId="9" hidden="1"/>
    <cellStyle name="Gevolgde hyperlink" xfId="1607" builtinId="9" hidden="1"/>
    <cellStyle name="Gevolgde hyperlink" xfId="1603" builtinId="9" hidden="1"/>
    <cellStyle name="Gevolgde hyperlink" xfId="1599" builtinId="9" hidden="1"/>
    <cellStyle name="Gevolgde hyperlink" xfId="1595" builtinId="9" hidden="1"/>
    <cellStyle name="Gevolgde hyperlink" xfId="1591" builtinId="9" hidden="1"/>
    <cellStyle name="Gevolgde hyperlink" xfId="1587" builtinId="9" hidden="1"/>
    <cellStyle name="Gevolgde hyperlink" xfId="1583" builtinId="9" hidden="1"/>
    <cellStyle name="Gevolgde hyperlink" xfId="1579" builtinId="9" hidden="1"/>
    <cellStyle name="Gevolgde hyperlink" xfId="1575" builtinId="9" hidden="1"/>
    <cellStyle name="Gevolgde hyperlink" xfId="1571" builtinId="9" hidden="1"/>
    <cellStyle name="Gevolgde hyperlink" xfId="1567" builtinId="9" hidden="1"/>
    <cellStyle name="Gevolgde hyperlink" xfId="1563" builtinId="9" hidden="1"/>
    <cellStyle name="Gevolgde hyperlink" xfId="1559" builtinId="9" hidden="1"/>
    <cellStyle name="Gevolgde hyperlink" xfId="1555" builtinId="9" hidden="1"/>
    <cellStyle name="Gevolgde hyperlink" xfId="1551" builtinId="9" hidden="1"/>
    <cellStyle name="Gevolgde hyperlink" xfId="1547" builtinId="9" hidden="1"/>
    <cellStyle name="Gevolgde hyperlink" xfId="1543" builtinId="9" hidden="1"/>
    <cellStyle name="Gevolgde hyperlink" xfId="1539" builtinId="9" hidden="1"/>
    <cellStyle name="Gevolgde hyperlink" xfId="1535" builtinId="9" hidden="1"/>
    <cellStyle name="Gevolgde hyperlink" xfId="1531" builtinId="9" hidden="1"/>
    <cellStyle name="Gevolgde hyperlink" xfId="1527" builtinId="9" hidden="1"/>
    <cellStyle name="Gevolgde hyperlink" xfId="1523" builtinId="9" hidden="1"/>
    <cellStyle name="Gevolgde hyperlink" xfId="1519" builtinId="9" hidden="1"/>
    <cellStyle name="Gevolgde hyperlink" xfId="1515" builtinId="9" hidden="1"/>
    <cellStyle name="Gevolgde hyperlink" xfId="1511" builtinId="9" hidden="1"/>
    <cellStyle name="Gevolgde hyperlink" xfId="1507" builtinId="9" hidden="1"/>
    <cellStyle name="Gevolgde hyperlink" xfId="1503" builtinId="9" hidden="1"/>
    <cellStyle name="Gevolgde hyperlink" xfId="1499" builtinId="9" hidden="1"/>
    <cellStyle name="Gevolgde hyperlink" xfId="1495" builtinId="9" hidden="1"/>
    <cellStyle name="Gevolgde hyperlink" xfId="1491" builtinId="9" hidden="1"/>
    <cellStyle name="Gevolgde hyperlink" xfId="1487" builtinId="9" hidden="1"/>
    <cellStyle name="Gevolgde hyperlink" xfId="1483" builtinId="9" hidden="1"/>
    <cellStyle name="Gevolgde hyperlink" xfId="1479" builtinId="9" hidden="1"/>
    <cellStyle name="Gevolgde hyperlink" xfId="1475" builtinId="9" hidden="1"/>
    <cellStyle name="Gevolgde hyperlink" xfId="1471" builtinId="9" hidden="1"/>
    <cellStyle name="Gevolgde hyperlink" xfId="1467" builtinId="9" hidden="1"/>
    <cellStyle name="Gevolgde hyperlink" xfId="1463" builtinId="9" hidden="1"/>
    <cellStyle name="Gevolgde hyperlink" xfId="1459" builtinId="9" hidden="1"/>
    <cellStyle name="Gevolgde hyperlink" xfId="1455" builtinId="9" hidden="1"/>
    <cellStyle name="Gevolgde hyperlink" xfId="1451" builtinId="9" hidden="1"/>
    <cellStyle name="Gevolgde hyperlink" xfId="1447" builtinId="9" hidden="1"/>
    <cellStyle name="Gevolgde hyperlink" xfId="1443" builtinId="9" hidden="1"/>
    <cellStyle name="Gevolgde hyperlink" xfId="1439" builtinId="9" hidden="1"/>
    <cellStyle name="Gevolgde hyperlink" xfId="1435" builtinId="9" hidden="1"/>
    <cellStyle name="Gevolgde hyperlink" xfId="1431" builtinId="9" hidden="1"/>
    <cellStyle name="Gevolgde hyperlink" xfId="1427" builtinId="9" hidden="1"/>
    <cellStyle name="Gevolgde hyperlink" xfId="1423" builtinId="9" hidden="1"/>
    <cellStyle name="Gevolgde hyperlink" xfId="1419" builtinId="9" hidden="1"/>
    <cellStyle name="Gevolgde hyperlink" xfId="1415" builtinId="9" hidden="1"/>
    <cellStyle name="Gevolgde hyperlink" xfId="1411" builtinId="9" hidden="1"/>
    <cellStyle name="Gevolgde hyperlink" xfId="1407" builtinId="9" hidden="1"/>
    <cellStyle name="Gevolgde hyperlink" xfId="1403" builtinId="9" hidden="1"/>
    <cellStyle name="Gevolgde hyperlink" xfId="1399" builtinId="9" hidden="1"/>
    <cellStyle name="Gevolgde hyperlink" xfId="1395" builtinId="9" hidden="1"/>
    <cellStyle name="Gevolgde hyperlink" xfId="1391" builtinId="9" hidden="1"/>
    <cellStyle name="Gevolgde hyperlink" xfId="1387" builtinId="9" hidden="1"/>
    <cellStyle name="Gevolgde hyperlink" xfId="1383" builtinId="9" hidden="1"/>
    <cellStyle name="Gevolgde hyperlink" xfId="1379" builtinId="9" hidden="1"/>
    <cellStyle name="Gevolgde hyperlink" xfId="1375" builtinId="9" hidden="1"/>
    <cellStyle name="Gevolgde hyperlink" xfId="1371" builtinId="9" hidden="1"/>
    <cellStyle name="Gevolgde hyperlink" xfId="1367" builtinId="9" hidden="1"/>
    <cellStyle name="Gevolgde hyperlink" xfId="1363" builtinId="9" hidden="1"/>
    <cellStyle name="Gevolgde hyperlink" xfId="1359" builtinId="9" hidden="1"/>
    <cellStyle name="Gevolgde hyperlink" xfId="1355" builtinId="9" hidden="1"/>
    <cellStyle name="Gevolgde hyperlink" xfId="1351" builtinId="9" hidden="1"/>
    <cellStyle name="Gevolgde hyperlink" xfId="1347" builtinId="9" hidden="1"/>
    <cellStyle name="Gevolgde hyperlink" xfId="1343" builtinId="9" hidden="1"/>
    <cellStyle name="Gevolgde hyperlink" xfId="1339" builtinId="9" hidden="1"/>
    <cellStyle name="Gevolgde hyperlink" xfId="1335" builtinId="9" hidden="1"/>
    <cellStyle name="Gevolgde hyperlink" xfId="1331" builtinId="9" hidden="1"/>
    <cellStyle name="Gevolgde hyperlink" xfId="1327" builtinId="9" hidden="1"/>
    <cellStyle name="Gevolgde hyperlink" xfId="1323" builtinId="9" hidden="1"/>
    <cellStyle name="Gevolgde hyperlink" xfId="1319" builtinId="9" hidden="1"/>
    <cellStyle name="Gevolgde hyperlink" xfId="1315" builtinId="9" hidden="1"/>
    <cellStyle name="Gevolgde hyperlink" xfId="1311" builtinId="9" hidden="1"/>
    <cellStyle name="Gevolgde hyperlink" xfId="1307" builtinId="9" hidden="1"/>
    <cellStyle name="Gevolgde hyperlink" xfId="1303" builtinId="9" hidden="1"/>
    <cellStyle name="Gevolgde hyperlink" xfId="1299" builtinId="9" hidden="1"/>
    <cellStyle name="Gevolgde hyperlink" xfId="1295" builtinId="9" hidden="1"/>
    <cellStyle name="Gevolgde hyperlink" xfId="1291" builtinId="9" hidden="1"/>
    <cellStyle name="Gevolgde hyperlink" xfId="1287" builtinId="9" hidden="1"/>
    <cellStyle name="Gevolgde hyperlink" xfId="1283" builtinId="9" hidden="1"/>
    <cellStyle name="Gevolgde hyperlink" xfId="1279" builtinId="9" hidden="1"/>
    <cellStyle name="Gevolgde hyperlink" xfId="1275" builtinId="9" hidden="1"/>
    <cellStyle name="Gevolgde hyperlink" xfId="1271" builtinId="9" hidden="1"/>
    <cellStyle name="Gevolgde hyperlink" xfId="1267" builtinId="9" hidden="1"/>
    <cellStyle name="Gevolgde hyperlink" xfId="1263" builtinId="9" hidden="1"/>
    <cellStyle name="Gevolgde hyperlink" xfId="1259" builtinId="9" hidden="1"/>
    <cellStyle name="Gevolgde hyperlink" xfId="1255" builtinId="9" hidden="1"/>
    <cellStyle name="Gevolgde hyperlink" xfId="1251" builtinId="9" hidden="1"/>
    <cellStyle name="Gevolgde hyperlink" xfId="1247" builtinId="9" hidden="1"/>
    <cellStyle name="Gevolgde hyperlink" xfId="1243" builtinId="9" hidden="1"/>
    <cellStyle name="Gevolgde hyperlink" xfId="1239" builtinId="9" hidden="1"/>
    <cellStyle name="Gevolgde hyperlink" xfId="1235" builtinId="9" hidden="1"/>
    <cellStyle name="Gevolgde hyperlink" xfId="1231" builtinId="9" hidden="1"/>
    <cellStyle name="Gevolgde hyperlink" xfId="1227" builtinId="9" hidden="1"/>
    <cellStyle name="Gevolgde hyperlink" xfId="1223" builtinId="9" hidden="1"/>
    <cellStyle name="Gevolgde hyperlink" xfId="1219" builtinId="9" hidden="1"/>
    <cellStyle name="Gevolgde hyperlink" xfId="1215" builtinId="9" hidden="1"/>
    <cellStyle name="Gevolgde hyperlink" xfId="1211" builtinId="9" hidden="1"/>
    <cellStyle name="Gevolgde hyperlink" xfId="1207" builtinId="9" hidden="1"/>
    <cellStyle name="Gevolgde hyperlink" xfId="1203" builtinId="9" hidden="1"/>
    <cellStyle name="Gevolgde hyperlink" xfId="1199" builtinId="9" hidden="1"/>
    <cellStyle name="Gevolgde hyperlink" xfId="1195" builtinId="9" hidden="1"/>
    <cellStyle name="Gevolgde hyperlink" xfId="1191" builtinId="9" hidden="1"/>
    <cellStyle name="Gevolgde hyperlink" xfId="1187" builtinId="9" hidden="1"/>
    <cellStyle name="Gevolgde hyperlink" xfId="1183" builtinId="9" hidden="1"/>
    <cellStyle name="Gevolgde hyperlink" xfId="1179" builtinId="9" hidden="1"/>
    <cellStyle name="Gevolgde hyperlink" xfId="1175" builtinId="9" hidden="1"/>
    <cellStyle name="Gevolgde hyperlink" xfId="1171" builtinId="9" hidden="1"/>
    <cellStyle name="Gevolgde hyperlink" xfId="1167" builtinId="9" hidden="1"/>
    <cellStyle name="Gevolgde hyperlink" xfId="1163" builtinId="9" hidden="1"/>
    <cellStyle name="Gevolgde hyperlink" xfId="1159" builtinId="9" hidden="1"/>
    <cellStyle name="Gevolgde hyperlink" xfId="1155" builtinId="9" hidden="1"/>
    <cellStyle name="Gevolgde hyperlink" xfId="1151" builtinId="9" hidden="1"/>
    <cellStyle name="Gevolgde hyperlink" xfId="1147" builtinId="9" hidden="1"/>
    <cellStyle name="Gevolgde hyperlink" xfId="1143" builtinId="9" hidden="1"/>
    <cellStyle name="Gevolgde hyperlink" xfId="1139" builtinId="9" hidden="1"/>
    <cellStyle name="Gevolgde hyperlink" xfId="1135" builtinId="9" hidden="1"/>
    <cellStyle name="Gevolgde hyperlink" xfId="1131" builtinId="9" hidden="1"/>
    <cellStyle name="Gevolgde hyperlink" xfId="1127" builtinId="9" hidden="1"/>
    <cellStyle name="Gevolgde hyperlink" xfId="1123" builtinId="9" hidden="1"/>
    <cellStyle name="Gevolgde hyperlink" xfId="1119" builtinId="9" hidden="1"/>
    <cellStyle name="Gevolgde hyperlink" xfId="1115" builtinId="9" hidden="1"/>
    <cellStyle name="Gevolgde hyperlink" xfId="1111" builtinId="9" hidden="1"/>
    <cellStyle name="Gevolgde hyperlink" xfId="1107" builtinId="9" hidden="1"/>
    <cellStyle name="Gevolgde hyperlink" xfId="1103" builtinId="9" hidden="1"/>
    <cellStyle name="Gevolgde hyperlink" xfId="1099" builtinId="9" hidden="1"/>
    <cellStyle name="Gevolgde hyperlink" xfId="1095" builtinId="9" hidden="1"/>
    <cellStyle name="Gevolgde hyperlink" xfId="1091" builtinId="9" hidden="1"/>
    <cellStyle name="Gevolgde hyperlink" xfId="1087" builtinId="9" hidden="1"/>
    <cellStyle name="Gevolgde hyperlink" xfId="1083" builtinId="9" hidden="1"/>
    <cellStyle name="Gevolgde hyperlink" xfId="1079" builtinId="9" hidden="1"/>
    <cellStyle name="Gevolgde hyperlink" xfId="1075" builtinId="9" hidden="1"/>
    <cellStyle name="Gevolgde hyperlink" xfId="1071" builtinId="9" hidden="1"/>
    <cellStyle name="Gevolgde hyperlink" xfId="1067" builtinId="9" hidden="1"/>
    <cellStyle name="Gevolgde hyperlink" xfId="1063" builtinId="9" hidden="1"/>
    <cellStyle name="Gevolgde hyperlink" xfId="1059" builtinId="9" hidden="1"/>
    <cellStyle name="Gevolgde hyperlink" xfId="1055" builtinId="9" hidden="1"/>
    <cellStyle name="Gevolgde hyperlink" xfId="1051" builtinId="9" hidden="1"/>
    <cellStyle name="Gevolgde hyperlink" xfId="1047" builtinId="9" hidden="1"/>
    <cellStyle name="Gevolgde hyperlink" xfId="1043" builtinId="9" hidden="1"/>
    <cellStyle name="Gevolgde hyperlink" xfId="1039" builtinId="9" hidden="1"/>
    <cellStyle name="Gevolgde hyperlink" xfId="1035" builtinId="9" hidden="1"/>
    <cellStyle name="Gevolgde hyperlink" xfId="1031" builtinId="9" hidden="1"/>
    <cellStyle name="Gevolgde hyperlink" xfId="1027" builtinId="9" hidden="1"/>
    <cellStyle name="Gevolgde hyperlink" xfId="1023" builtinId="9" hidden="1"/>
    <cellStyle name="Gevolgde hyperlink" xfId="1019" builtinId="9" hidden="1"/>
    <cellStyle name="Gevolgde hyperlink" xfId="1015" builtinId="9" hidden="1"/>
    <cellStyle name="Gevolgde hyperlink" xfId="1011" builtinId="9" hidden="1"/>
    <cellStyle name="Gevolgde hyperlink" xfId="1007" builtinId="9" hidden="1"/>
    <cellStyle name="Gevolgde hyperlink" xfId="1003" builtinId="9" hidden="1"/>
    <cellStyle name="Gevolgde hyperlink" xfId="999" builtinId="9" hidden="1"/>
    <cellStyle name="Gevolgde hyperlink" xfId="995" builtinId="9" hidden="1"/>
    <cellStyle name="Gevolgde hyperlink" xfId="991" builtinId="9" hidden="1"/>
    <cellStyle name="Gevolgde hyperlink" xfId="987" builtinId="9" hidden="1"/>
    <cellStyle name="Gevolgde hyperlink" xfId="983" builtinId="9" hidden="1"/>
    <cellStyle name="Gevolgde hyperlink" xfId="979" builtinId="9" hidden="1"/>
    <cellStyle name="Gevolgde hyperlink" xfId="975" builtinId="9" hidden="1"/>
    <cellStyle name="Gevolgde hyperlink" xfId="971" builtinId="9" hidden="1"/>
    <cellStyle name="Gevolgde hyperlink" xfId="967" builtinId="9" hidden="1"/>
    <cellStyle name="Gevolgde hyperlink" xfId="963" builtinId="9" hidden="1"/>
    <cellStyle name="Gevolgde hyperlink" xfId="959" builtinId="9" hidden="1"/>
    <cellStyle name="Gevolgde hyperlink" xfId="955" builtinId="9" hidden="1"/>
    <cellStyle name="Gevolgde hyperlink" xfId="951" builtinId="9" hidden="1"/>
    <cellStyle name="Gevolgde hyperlink" xfId="947" builtinId="9" hidden="1"/>
    <cellStyle name="Gevolgde hyperlink" xfId="943" builtinId="9" hidden="1"/>
    <cellStyle name="Gevolgde hyperlink" xfId="939" builtinId="9" hidden="1"/>
    <cellStyle name="Gevolgde hyperlink" xfId="935" builtinId="9" hidden="1"/>
    <cellStyle name="Gevolgde hyperlink" xfId="931" builtinId="9" hidden="1"/>
    <cellStyle name="Gevolgde hyperlink" xfId="927" builtinId="9" hidden="1"/>
    <cellStyle name="Gevolgde hyperlink" xfId="923" builtinId="9" hidden="1"/>
    <cellStyle name="Gevolgde hyperlink" xfId="919" builtinId="9" hidden="1"/>
    <cellStyle name="Gevolgde hyperlink" xfId="915" builtinId="9" hidden="1"/>
    <cellStyle name="Gevolgde hyperlink" xfId="911" builtinId="9" hidden="1"/>
    <cellStyle name="Gevolgde hyperlink" xfId="907" builtinId="9" hidden="1"/>
    <cellStyle name="Gevolgde hyperlink" xfId="903" builtinId="9" hidden="1"/>
    <cellStyle name="Gevolgde hyperlink" xfId="899" builtinId="9" hidden="1"/>
    <cellStyle name="Gevolgde hyperlink" xfId="895" builtinId="9" hidden="1"/>
    <cellStyle name="Gevolgde hyperlink" xfId="891" builtinId="9" hidden="1"/>
    <cellStyle name="Gevolgde hyperlink" xfId="887" builtinId="9" hidden="1"/>
    <cellStyle name="Gevolgde hyperlink" xfId="883" builtinId="9" hidden="1"/>
    <cellStyle name="Gevolgde hyperlink" xfId="879" builtinId="9" hidden="1"/>
    <cellStyle name="Gevolgde hyperlink" xfId="875" builtinId="9" hidden="1"/>
    <cellStyle name="Gevolgde hyperlink" xfId="871" builtinId="9" hidden="1"/>
    <cellStyle name="Gevolgde hyperlink" xfId="867" builtinId="9" hidden="1"/>
    <cellStyle name="Gevolgde hyperlink" xfId="863" builtinId="9" hidden="1"/>
    <cellStyle name="Gevolgde hyperlink" xfId="859" builtinId="9" hidden="1"/>
    <cellStyle name="Gevolgde hyperlink" xfId="855" builtinId="9" hidden="1"/>
    <cellStyle name="Gevolgde hyperlink" xfId="851" builtinId="9" hidden="1"/>
    <cellStyle name="Gevolgde hyperlink" xfId="847" builtinId="9" hidden="1"/>
    <cellStyle name="Gevolgde hyperlink" xfId="843" builtinId="9" hidden="1"/>
    <cellStyle name="Gevolgde hyperlink" xfId="839" builtinId="9" hidden="1"/>
    <cellStyle name="Gevolgde hyperlink" xfId="835" builtinId="9" hidden="1"/>
    <cellStyle name="Gevolgde hyperlink" xfId="831" builtinId="9" hidden="1"/>
    <cellStyle name="Gevolgde hyperlink" xfId="827" builtinId="9" hidden="1"/>
    <cellStyle name="Gevolgde hyperlink" xfId="823" builtinId="9" hidden="1"/>
    <cellStyle name="Gevolgde hyperlink" xfId="819" builtinId="9" hidden="1"/>
    <cellStyle name="Gevolgde hyperlink" xfId="815" builtinId="9" hidden="1"/>
    <cellStyle name="Gevolgde hyperlink" xfId="811" builtinId="9" hidden="1"/>
    <cellStyle name="Gevolgde hyperlink" xfId="807" builtinId="9" hidden="1"/>
    <cellStyle name="Gevolgde hyperlink" xfId="803" builtinId="9" hidden="1"/>
    <cellStyle name="Gevolgde hyperlink" xfId="799" builtinId="9" hidden="1"/>
    <cellStyle name="Gevolgde hyperlink" xfId="795" builtinId="9" hidden="1"/>
    <cellStyle name="Gevolgde hyperlink" xfId="791" builtinId="9" hidden="1"/>
    <cellStyle name="Gevolgde hyperlink" xfId="787" builtinId="9" hidden="1"/>
    <cellStyle name="Gevolgde hyperlink" xfId="783" builtinId="9" hidden="1"/>
    <cellStyle name="Gevolgde hyperlink" xfId="779" builtinId="9" hidden="1"/>
    <cellStyle name="Gevolgde hyperlink" xfId="775" builtinId="9" hidden="1"/>
    <cellStyle name="Gevolgde hyperlink" xfId="771" builtinId="9" hidden="1"/>
    <cellStyle name="Gevolgde hyperlink" xfId="767" builtinId="9" hidden="1"/>
    <cellStyle name="Gevolgde hyperlink" xfId="763" builtinId="9" hidden="1"/>
    <cellStyle name="Gevolgde hyperlink" xfId="759" builtinId="9" hidden="1"/>
    <cellStyle name="Gevolgde hyperlink" xfId="755" builtinId="9" hidden="1"/>
    <cellStyle name="Gevolgde hyperlink" xfId="751" builtinId="9" hidden="1"/>
    <cellStyle name="Gevolgde hyperlink" xfId="747" builtinId="9" hidden="1"/>
    <cellStyle name="Gevolgde hyperlink" xfId="743" builtinId="9" hidden="1"/>
    <cellStyle name="Gevolgde hyperlink" xfId="739" builtinId="9" hidden="1"/>
    <cellStyle name="Gevolgde hyperlink" xfId="735" builtinId="9" hidden="1"/>
    <cellStyle name="Gevolgde hyperlink" xfId="731" builtinId="9" hidden="1"/>
    <cellStyle name="Gevolgde hyperlink" xfId="727" builtinId="9" hidden="1"/>
    <cellStyle name="Gevolgde hyperlink" xfId="723" builtinId="9" hidden="1"/>
    <cellStyle name="Gevolgde hyperlink" xfId="719" builtinId="9" hidden="1"/>
    <cellStyle name="Gevolgde hyperlink" xfId="715" builtinId="9" hidden="1"/>
    <cellStyle name="Gevolgde hyperlink" xfId="711" builtinId="9" hidden="1"/>
    <cellStyle name="Gevolgde hyperlink" xfId="707" builtinId="9" hidden="1"/>
    <cellStyle name="Gevolgde hyperlink" xfId="703" builtinId="9" hidden="1"/>
    <cellStyle name="Gevolgde hyperlink" xfId="699" builtinId="9" hidden="1"/>
    <cellStyle name="Gevolgde hyperlink" xfId="695" builtinId="9" hidden="1"/>
    <cellStyle name="Gevolgde hyperlink" xfId="691" builtinId="9" hidden="1"/>
    <cellStyle name="Gevolgde hyperlink" xfId="687" builtinId="9" hidden="1"/>
    <cellStyle name="Gevolgde hyperlink" xfId="683" builtinId="9" hidden="1"/>
    <cellStyle name="Gevolgde hyperlink" xfId="679" builtinId="9" hidden="1"/>
    <cellStyle name="Gevolgde hyperlink" xfId="675" builtinId="9" hidden="1"/>
    <cellStyle name="Gevolgde hyperlink" xfId="671" builtinId="9" hidden="1"/>
    <cellStyle name="Gevolgde hyperlink" xfId="667" builtinId="9" hidden="1"/>
    <cellStyle name="Gevolgde hyperlink" xfId="663" builtinId="9" hidden="1"/>
    <cellStyle name="Gevolgde hyperlink" xfId="659" builtinId="9" hidden="1"/>
    <cellStyle name="Gevolgde hyperlink" xfId="655" builtinId="9" hidden="1"/>
    <cellStyle name="Gevolgde hyperlink" xfId="651" builtinId="9" hidden="1"/>
    <cellStyle name="Gevolgde hyperlink" xfId="647" builtinId="9" hidden="1"/>
    <cellStyle name="Gevolgde hyperlink" xfId="643" builtinId="9" hidden="1"/>
    <cellStyle name="Gevolgde hyperlink" xfId="639" builtinId="9" hidden="1"/>
    <cellStyle name="Gevolgde hyperlink" xfId="635" builtinId="9" hidden="1"/>
    <cellStyle name="Gevolgde hyperlink" xfId="631" builtinId="9" hidden="1"/>
    <cellStyle name="Gevolgde hyperlink" xfId="627" builtinId="9" hidden="1"/>
    <cellStyle name="Gevolgde hyperlink" xfId="623" builtinId="9" hidden="1"/>
    <cellStyle name="Gevolgde hyperlink" xfId="619" builtinId="9" hidden="1"/>
    <cellStyle name="Gevolgde hyperlink" xfId="615" builtinId="9" hidden="1"/>
    <cellStyle name="Gevolgde hyperlink" xfId="611" builtinId="9" hidden="1"/>
    <cellStyle name="Gevolgde hyperlink" xfId="607" builtinId="9" hidden="1"/>
    <cellStyle name="Gevolgde hyperlink" xfId="603" builtinId="9" hidden="1"/>
    <cellStyle name="Gevolgde hyperlink" xfId="599" builtinId="9" hidden="1"/>
    <cellStyle name="Gevolgde hyperlink" xfId="595" builtinId="9" hidden="1"/>
    <cellStyle name="Gevolgde hyperlink" xfId="591" builtinId="9" hidden="1"/>
    <cellStyle name="Gevolgde hyperlink" xfId="587" builtinId="9" hidden="1"/>
    <cellStyle name="Gevolgde hyperlink" xfId="583" builtinId="9" hidden="1"/>
    <cellStyle name="Gevolgde hyperlink" xfId="579" builtinId="9" hidden="1"/>
    <cellStyle name="Gevolgde hyperlink" xfId="575" builtinId="9" hidden="1"/>
    <cellStyle name="Gevolgde hyperlink" xfId="571" builtinId="9" hidden="1"/>
    <cellStyle name="Gevolgde hyperlink" xfId="567" builtinId="9" hidden="1"/>
    <cellStyle name="Gevolgde hyperlink" xfId="563" builtinId="9" hidden="1"/>
    <cellStyle name="Gevolgde hyperlink" xfId="559" builtinId="9" hidden="1"/>
    <cellStyle name="Gevolgde hyperlink" xfId="555" builtinId="9" hidden="1"/>
    <cellStyle name="Gevolgde hyperlink" xfId="551" builtinId="9" hidden="1"/>
    <cellStyle name="Gevolgde hyperlink" xfId="547" builtinId="9" hidden="1"/>
    <cellStyle name="Gevolgde hyperlink" xfId="543" builtinId="9" hidden="1"/>
    <cellStyle name="Gevolgde hyperlink" xfId="539" builtinId="9" hidden="1"/>
    <cellStyle name="Gevolgde hyperlink" xfId="535" builtinId="9" hidden="1"/>
    <cellStyle name="Gevolgde hyperlink" xfId="531" builtinId="9" hidden="1"/>
    <cellStyle name="Gevolgde hyperlink" xfId="527" builtinId="9" hidden="1"/>
    <cellStyle name="Gevolgde hyperlink" xfId="523" builtinId="9" hidden="1"/>
    <cellStyle name="Gevolgde hyperlink" xfId="519" builtinId="9" hidden="1"/>
    <cellStyle name="Gevolgde hyperlink" xfId="515" builtinId="9" hidden="1"/>
    <cellStyle name="Gevolgde hyperlink" xfId="511" builtinId="9" hidden="1"/>
    <cellStyle name="Gevolgde hyperlink" xfId="507" builtinId="9" hidden="1"/>
    <cellStyle name="Gevolgde hyperlink" xfId="503" builtinId="9" hidden="1"/>
    <cellStyle name="Gevolgde hyperlink" xfId="499" builtinId="9" hidden="1"/>
    <cellStyle name="Gevolgde hyperlink" xfId="495" builtinId="9" hidden="1"/>
    <cellStyle name="Gevolgde hyperlink" xfId="491" builtinId="9" hidden="1"/>
    <cellStyle name="Gevolgde hyperlink" xfId="487" builtinId="9" hidden="1"/>
    <cellStyle name="Gevolgde hyperlink" xfId="483" builtinId="9" hidden="1"/>
    <cellStyle name="Gevolgde hyperlink" xfId="479" builtinId="9" hidden="1"/>
    <cellStyle name="Gevolgde hyperlink" xfId="475" builtinId="9" hidden="1"/>
    <cellStyle name="Gevolgde hyperlink" xfId="471" builtinId="9" hidden="1"/>
    <cellStyle name="Gevolgde hyperlink" xfId="467" builtinId="9" hidden="1"/>
    <cellStyle name="Gevolgde hyperlink" xfId="463" builtinId="9" hidden="1"/>
    <cellStyle name="Gevolgde hyperlink" xfId="459" builtinId="9" hidden="1"/>
    <cellStyle name="Gevolgde hyperlink" xfId="455" builtinId="9" hidden="1"/>
    <cellStyle name="Gevolgde hyperlink" xfId="451" builtinId="9" hidden="1"/>
    <cellStyle name="Gevolgde hyperlink" xfId="447" builtinId="9" hidden="1"/>
    <cellStyle name="Gevolgde hyperlink" xfId="443" builtinId="9" hidden="1"/>
    <cellStyle name="Gevolgde hyperlink" xfId="439" builtinId="9" hidden="1"/>
    <cellStyle name="Gevolgde hyperlink" xfId="435" builtinId="9" hidden="1"/>
    <cellStyle name="Gevolgde hyperlink" xfId="431" builtinId="9" hidden="1"/>
    <cellStyle name="Gevolgde hyperlink" xfId="427" builtinId="9" hidden="1"/>
    <cellStyle name="Gevolgde hyperlink" xfId="423" builtinId="9" hidden="1"/>
    <cellStyle name="Gevolgde hyperlink" xfId="419" builtinId="9" hidden="1"/>
    <cellStyle name="Gevolgde hyperlink" xfId="415" builtinId="9" hidden="1"/>
    <cellStyle name="Gevolgde hyperlink" xfId="411" builtinId="9" hidden="1"/>
    <cellStyle name="Gevolgde hyperlink" xfId="407" builtinId="9" hidden="1"/>
    <cellStyle name="Gevolgde hyperlink" xfId="403" builtinId="9" hidden="1"/>
    <cellStyle name="Gevolgde hyperlink" xfId="399" builtinId="9" hidden="1"/>
    <cellStyle name="Gevolgde hyperlink" xfId="395" builtinId="9" hidden="1"/>
    <cellStyle name="Gevolgde hyperlink" xfId="391" builtinId="9" hidden="1"/>
    <cellStyle name="Gevolgde hyperlink" xfId="387" builtinId="9" hidden="1"/>
    <cellStyle name="Gevolgde hyperlink" xfId="383" builtinId="9" hidden="1"/>
    <cellStyle name="Gevolgde hyperlink" xfId="379" builtinId="9" hidden="1"/>
    <cellStyle name="Gevolgde hyperlink" xfId="375" builtinId="9" hidden="1"/>
    <cellStyle name="Gevolgde hyperlink" xfId="371" builtinId="9" hidden="1"/>
    <cellStyle name="Gevolgde hyperlink" xfId="367" builtinId="9" hidden="1"/>
    <cellStyle name="Gevolgde hyperlink" xfId="363" builtinId="9" hidden="1"/>
    <cellStyle name="Gevolgde hyperlink" xfId="359" builtinId="9" hidden="1"/>
    <cellStyle name="Gevolgde hyperlink" xfId="355" builtinId="9" hidden="1"/>
    <cellStyle name="Gevolgde hyperlink" xfId="351" builtinId="9" hidden="1"/>
    <cellStyle name="Gevolgde hyperlink" xfId="347" builtinId="9" hidden="1"/>
    <cellStyle name="Gevolgde hyperlink" xfId="343" builtinId="9" hidden="1"/>
    <cellStyle name="Gevolgde hyperlink" xfId="339" builtinId="9" hidden="1"/>
    <cellStyle name="Gevolgde hyperlink" xfId="335" builtinId="9" hidden="1"/>
    <cellStyle name="Gevolgde hyperlink" xfId="331" builtinId="9" hidden="1"/>
    <cellStyle name="Gevolgde hyperlink" xfId="327" builtinId="9" hidden="1"/>
    <cellStyle name="Gevolgde hyperlink" xfId="323" builtinId="9" hidden="1"/>
    <cellStyle name="Gevolgde hyperlink" xfId="319" builtinId="9" hidden="1"/>
    <cellStyle name="Gevolgde hyperlink" xfId="315" builtinId="9" hidden="1"/>
    <cellStyle name="Gevolgde hyperlink" xfId="311" builtinId="9" hidden="1"/>
    <cellStyle name="Gevolgde hyperlink" xfId="307" builtinId="9" hidden="1"/>
    <cellStyle name="Gevolgde hyperlink" xfId="303" builtinId="9" hidden="1"/>
    <cellStyle name="Gevolgde hyperlink" xfId="299" builtinId="9" hidden="1"/>
    <cellStyle name="Gevolgde hyperlink" xfId="295" builtinId="9" hidden="1"/>
    <cellStyle name="Gevolgde hyperlink" xfId="291" builtinId="9" hidden="1"/>
    <cellStyle name="Gevolgde hyperlink" xfId="287" builtinId="9" hidden="1"/>
    <cellStyle name="Gevolgde hyperlink" xfId="283" builtinId="9" hidden="1"/>
    <cellStyle name="Gevolgde hyperlink" xfId="279" builtinId="9" hidden="1"/>
    <cellStyle name="Gevolgde hyperlink" xfId="275" builtinId="9" hidden="1"/>
    <cellStyle name="Gevolgde hyperlink" xfId="271" builtinId="9" hidden="1"/>
    <cellStyle name="Gevolgde hyperlink" xfId="267" builtinId="9" hidden="1"/>
    <cellStyle name="Gevolgde hyperlink" xfId="263" builtinId="9" hidden="1"/>
    <cellStyle name="Gevolgde hyperlink" xfId="259" builtinId="9" hidden="1"/>
    <cellStyle name="Gevolgde hyperlink" xfId="255" builtinId="9" hidden="1"/>
    <cellStyle name="Gevolgde hyperlink" xfId="251" builtinId="9" hidden="1"/>
    <cellStyle name="Gevolgde hyperlink" xfId="247" builtinId="9" hidden="1"/>
    <cellStyle name="Gevolgde hyperlink" xfId="243" builtinId="9" hidden="1"/>
    <cellStyle name="Gevolgde hyperlink" xfId="239" builtinId="9" hidden="1"/>
    <cellStyle name="Gevolgde hyperlink" xfId="235" builtinId="9" hidden="1"/>
    <cellStyle name="Gevolgde hyperlink" xfId="231" builtinId="9" hidden="1"/>
    <cellStyle name="Gevolgde hyperlink" xfId="227" builtinId="9" hidden="1"/>
    <cellStyle name="Gevolgde hyperlink" xfId="223" builtinId="9" hidden="1"/>
    <cellStyle name="Gevolgde hyperlink" xfId="219" builtinId="9" hidden="1"/>
    <cellStyle name="Gevolgde hyperlink" xfId="215" builtinId="9" hidden="1"/>
    <cellStyle name="Gevolgde hyperlink" xfId="211" builtinId="9" hidden="1"/>
    <cellStyle name="Gevolgde hyperlink" xfId="207" builtinId="9" hidden="1"/>
    <cellStyle name="Gevolgde hyperlink" xfId="203" builtinId="9" hidden="1"/>
    <cellStyle name="Gevolgde hyperlink" xfId="199" builtinId="9" hidden="1"/>
    <cellStyle name="Gevolgde hyperlink" xfId="195" builtinId="9" hidden="1"/>
    <cellStyle name="Gevolgde hyperlink" xfId="191" builtinId="9" hidden="1"/>
    <cellStyle name="Gevolgde hyperlink" xfId="187" builtinId="9" hidden="1"/>
    <cellStyle name="Gevolgde hyperlink" xfId="183" builtinId="9" hidden="1"/>
    <cellStyle name="Gevolgde hyperlink" xfId="179" builtinId="9" hidden="1"/>
    <cellStyle name="Gevolgde hyperlink" xfId="175" builtinId="9" hidden="1"/>
    <cellStyle name="Gevolgde hyperlink" xfId="77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67" builtinId="9" hidden="1"/>
    <cellStyle name="Gevolgde hyperlink" xfId="159" builtinId="9" hidden="1"/>
    <cellStyle name="Gevolgde hyperlink" xfId="151" builtinId="9" hidden="1"/>
    <cellStyle name="Gevolgde hyperlink" xfId="143" builtinId="9" hidden="1"/>
    <cellStyle name="Gevolgde hyperlink" xfId="135" builtinId="9" hidden="1"/>
    <cellStyle name="Gevolgde hyperlink" xfId="127" builtinId="9" hidden="1"/>
    <cellStyle name="Gevolgde hyperlink" xfId="119" builtinId="9" hidden="1"/>
    <cellStyle name="Gevolgde hyperlink" xfId="111" builtinId="9" hidden="1"/>
    <cellStyle name="Gevolgde hyperlink" xfId="103" builtinId="9" hidden="1"/>
    <cellStyle name="Gevolgde hyperlink" xfId="95" builtinId="9" hidden="1"/>
    <cellStyle name="Gevolgde hyperlink" xfId="87" builtinId="9" hidden="1"/>
    <cellStyle name="Gevolgde hyperlink" xfId="79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3" builtinId="9" hidden="1"/>
    <cellStyle name="Gevolgde hyperlink" xfId="75" builtinId="9" hidden="1"/>
    <cellStyle name="Gevolgde hyperlink" xfId="71" builtinId="9" hidden="1"/>
    <cellStyle name="Gevolgde hyperlink" xfId="55" builtinId="9" hidden="1"/>
    <cellStyle name="Gevolgde hyperlink" xfId="37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39" builtinId="9" hidden="1"/>
    <cellStyle name="Gevolgde hyperlink" xfId="33" builtinId="9" hidden="1"/>
    <cellStyle name="Gevolgde hyperlink" xfId="35" builtinId="9" hidden="1"/>
    <cellStyle name="Gevolgde hyperlink" xfId="31" builtinId="9" hidden="1"/>
    <cellStyle name="Gevolgde hyperlink" xfId="29" builtinId="9" hidden="1"/>
    <cellStyle name="Goed" xfId="8" xr:uid="{00000000-0005-0000-0000-000068060000}"/>
    <cellStyle name="Goed 2" xfId="2553" xr:uid="{00000000-0005-0000-0000-000069060000}"/>
    <cellStyle name="Good" xfId="2554" xr:uid="{00000000-0005-0000-0000-00006A060000}"/>
    <cellStyle name="Heading 1" xfId="2555" xr:uid="{00000000-0005-0000-0000-00006B060000}"/>
    <cellStyle name="Heading 2" xfId="2556" xr:uid="{00000000-0005-0000-0000-00006C060000}"/>
    <cellStyle name="Heading 3" xfId="2557" xr:uid="{00000000-0005-0000-0000-00006D060000}"/>
    <cellStyle name="Heading 4" xfId="2558" xr:uid="{00000000-0005-0000-0000-00006E060000}"/>
    <cellStyle name="Hyperlink" xfId="1142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7" builtinId="8" hidden="1"/>
    <cellStyle name="Hyperlink" xfId="2509" builtinId="8" hidden="1"/>
    <cellStyle name="Hyperlink" xfId="2619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9" builtinId="8" hidden="1"/>
    <cellStyle name="Hyperlink" xfId="3317" builtinId="8" hidden="1"/>
    <cellStyle name="Hyperlink" xfId="3309" builtinId="8" hidden="1"/>
    <cellStyle name="Hyperlink" xfId="3301" builtinId="8" hidden="1"/>
    <cellStyle name="Hyperlink" xfId="3293" builtinId="8" hidden="1"/>
    <cellStyle name="Hyperlink" xfId="3285" builtinId="8" hidden="1"/>
    <cellStyle name="Hyperlink" xfId="3277" builtinId="8" hidden="1"/>
    <cellStyle name="Hyperlink" xfId="3269" builtinId="8" hidden="1"/>
    <cellStyle name="Hyperlink" xfId="3261" builtinId="8" hidden="1"/>
    <cellStyle name="Hyperlink" xfId="3253" builtinId="8" hidden="1"/>
    <cellStyle name="Hyperlink" xfId="3245" builtinId="8" hidden="1"/>
    <cellStyle name="Hyperlink" xfId="3237" builtinId="8" hidden="1"/>
    <cellStyle name="Hyperlink" xfId="3229" builtinId="8" hidden="1"/>
    <cellStyle name="Hyperlink" xfId="3221" builtinId="8" hidden="1"/>
    <cellStyle name="Hyperlink" xfId="3213" builtinId="8" hidden="1"/>
    <cellStyle name="Hyperlink" xfId="3205" builtinId="8" hidden="1"/>
    <cellStyle name="Hyperlink" xfId="3197" builtinId="8" hidden="1"/>
    <cellStyle name="Hyperlink" xfId="3189" builtinId="8" hidden="1"/>
    <cellStyle name="Hyperlink" xfId="3181" builtinId="8" hidden="1"/>
    <cellStyle name="Hyperlink" xfId="3173" builtinId="8" hidden="1"/>
    <cellStyle name="Hyperlink" xfId="3165" builtinId="8" hidden="1"/>
    <cellStyle name="Hyperlink" xfId="3157" builtinId="8" hidden="1"/>
    <cellStyle name="Hyperlink" xfId="3149" builtinId="8" hidden="1"/>
    <cellStyle name="Hyperlink" xfId="3141" builtinId="8" hidden="1"/>
    <cellStyle name="Hyperlink" xfId="3133" builtinId="8" hidden="1"/>
    <cellStyle name="Hyperlink" xfId="3125" builtinId="8" hidden="1"/>
    <cellStyle name="Hyperlink" xfId="3117" builtinId="8" hidden="1"/>
    <cellStyle name="Hyperlink" xfId="3109" builtinId="8" hidden="1"/>
    <cellStyle name="Hyperlink" xfId="3101" builtinId="8" hidden="1"/>
    <cellStyle name="Hyperlink" xfId="3093" builtinId="8" hidden="1"/>
    <cellStyle name="Hyperlink" xfId="3085" builtinId="8" hidden="1"/>
    <cellStyle name="Hyperlink" xfId="3077" builtinId="8" hidden="1"/>
    <cellStyle name="Hyperlink" xfId="3069" builtinId="8" hidden="1"/>
    <cellStyle name="Hyperlink" xfId="3061" builtinId="8" hidden="1"/>
    <cellStyle name="Hyperlink" xfId="3053" builtinId="8" hidden="1"/>
    <cellStyle name="Hyperlink" xfId="3045" builtinId="8" hidden="1"/>
    <cellStyle name="Hyperlink" xfId="3037" builtinId="8" hidden="1"/>
    <cellStyle name="Hyperlink" xfId="3029" builtinId="8" hidden="1"/>
    <cellStyle name="Hyperlink" xfId="3021" builtinId="8" hidden="1"/>
    <cellStyle name="Hyperlink" xfId="3013" builtinId="8" hidden="1"/>
    <cellStyle name="Hyperlink" xfId="3005" builtinId="8" hidden="1"/>
    <cellStyle name="Hyperlink" xfId="2997" builtinId="8" hidden="1"/>
    <cellStyle name="Hyperlink" xfId="2989" builtinId="8" hidden="1"/>
    <cellStyle name="Hyperlink" xfId="2981" builtinId="8" hidden="1"/>
    <cellStyle name="Hyperlink" xfId="2973" builtinId="8" hidden="1"/>
    <cellStyle name="Hyperlink" xfId="2965" builtinId="8" hidden="1"/>
    <cellStyle name="Hyperlink" xfId="2957" builtinId="8" hidden="1"/>
    <cellStyle name="Hyperlink" xfId="2949" builtinId="8" hidden="1"/>
    <cellStyle name="Hyperlink" xfId="2941" builtinId="8" hidden="1"/>
    <cellStyle name="Hyperlink" xfId="2933" builtinId="8" hidden="1"/>
    <cellStyle name="Hyperlink" xfId="2925" builtinId="8" hidden="1"/>
    <cellStyle name="Hyperlink" xfId="2917" builtinId="8" hidden="1"/>
    <cellStyle name="Hyperlink" xfId="2909" builtinId="8" hidden="1"/>
    <cellStyle name="Hyperlink" xfId="2901" builtinId="8" hidden="1"/>
    <cellStyle name="Hyperlink" xfId="2893" builtinId="8" hidden="1"/>
    <cellStyle name="Hyperlink" xfId="2885" builtinId="8" hidden="1"/>
    <cellStyle name="Hyperlink" xfId="2877" builtinId="8" hidden="1"/>
    <cellStyle name="Hyperlink" xfId="2869" builtinId="8" hidden="1"/>
    <cellStyle name="Hyperlink" xfId="2861" builtinId="8" hidden="1"/>
    <cellStyle name="Hyperlink" xfId="2853" builtinId="8" hidden="1"/>
    <cellStyle name="Hyperlink" xfId="2845" builtinId="8" hidden="1"/>
    <cellStyle name="Hyperlink" xfId="2837" builtinId="8" hidden="1"/>
    <cellStyle name="Hyperlink" xfId="2829" builtinId="8" hidden="1"/>
    <cellStyle name="Hyperlink" xfId="2821" builtinId="8" hidden="1"/>
    <cellStyle name="Hyperlink" xfId="2813" builtinId="8" hidden="1"/>
    <cellStyle name="Hyperlink" xfId="2805" builtinId="8" hidden="1"/>
    <cellStyle name="Hyperlink" xfId="2797" builtinId="8" hidden="1"/>
    <cellStyle name="Hyperlink" xfId="2789" builtinId="8" hidden="1"/>
    <cellStyle name="Hyperlink" xfId="2781" builtinId="8" hidden="1"/>
    <cellStyle name="Hyperlink" xfId="2773" builtinId="8" hidden="1"/>
    <cellStyle name="Hyperlink" xfId="2765" builtinId="8" hidden="1"/>
    <cellStyle name="Hyperlink" xfId="2757" builtinId="8" hidden="1"/>
    <cellStyle name="Hyperlink" xfId="2749" builtinId="8" hidden="1"/>
    <cellStyle name="Hyperlink" xfId="2741" builtinId="8" hidden="1"/>
    <cellStyle name="Hyperlink" xfId="2733" builtinId="8" hidden="1"/>
    <cellStyle name="Hyperlink" xfId="2725" builtinId="8" hidden="1"/>
    <cellStyle name="Hyperlink" xfId="2717" builtinId="8" hidden="1"/>
    <cellStyle name="Hyperlink" xfId="2709" builtinId="8" hidden="1"/>
    <cellStyle name="Hyperlink" xfId="2701" builtinId="8" hidden="1"/>
    <cellStyle name="Hyperlink" xfId="2693" builtinId="8" hidden="1"/>
    <cellStyle name="Hyperlink" xfId="2685" builtinId="8" hidden="1"/>
    <cellStyle name="Hyperlink" xfId="2677" builtinId="8" hidden="1"/>
    <cellStyle name="Hyperlink" xfId="2669" builtinId="8" hidden="1"/>
    <cellStyle name="Hyperlink" xfId="2661" builtinId="8" hidden="1"/>
    <cellStyle name="Hyperlink" xfId="2653" builtinId="8" hidden="1"/>
    <cellStyle name="Hyperlink" xfId="2645" builtinId="8" hidden="1"/>
    <cellStyle name="Hyperlink" xfId="2637" builtinId="8" hidden="1"/>
    <cellStyle name="Hyperlink" xfId="2629" builtinId="8" hidden="1"/>
    <cellStyle name="Hyperlink" xfId="2621" builtinId="8" hidden="1"/>
    <cellStyle name="Hyperlink" xfId="2504" builtinId="8" hidden="1"/>
    <cellStyle name="Hyperlink" xfId="2496" builtinId="8" hidden="1"/>
    <cellStyle name="Hyperlink" xfId="2488" builtinId="8" hidden="1"/>
    <cellStyle name="Hyperlink" xfId="2480" builtinId="8" hidden="1"/>
    <cellStyle name="Hyperlink" xfId="2472" builtinId="8" hidden="1"/>
    <cellStyle name="Hyperlink" xfId="2464" builtinId="8" hidden="1"/>
    <cellStyle name="Hyperlink" xfId="2456" builtinId="8" hidden="1"/>
    <cellStyle name="Hyperlink" xfId="2448" builtinId="8" hidden="1"/>
    <cellStyle name="Hyperlink" xfId="2440" builtinId="8" hidden="1"/>
    <cellStyle name="Hyperlink" xfId="2432" builtinId="8" hidden="1"/>
    <cellStyle name="Hyperlink" xfId="2424" builtinId="8" hidden="1"/>
    <cellStyle name="Hyperlink" xfId="2416" builtinId="8" hidden="1"/>
    <cellStyle name="Hyperlink" xfId="2408" builtinId="8" hidden="1"/>
    <cellStyle name="Hyperlink" xfId="2400" builtinId="8" hidden="1"/>
    <cellStyle name="Hyperlink" xfId="2392" builtinId="8" hidden="1"/>
    <cellStyle name="Hyperlink" xfId="2384" builtinId="8" hidden="1"/>
    <cellStyle name="Hyperlink" xfId="2376" builtinId="8" hidden="1"/>
    <cellStyle name="Hyperlink" xfId="2368" builtinId="8" hidden="1"/>
    <cellStyle name="Hyperlink" xfId="2360" builtinId="8" hidden="1"/>
    <cellStyle name="Hyperlink" xfId="2352" builtinId="8" hidden="1"/>
    <cellStyle name="Hyperlink" xfId="2344" builtinId="8" hidden="1"/>
    <cellStyle name="Hyperlink" xfId="2336" builtinId="8" hidden="1"/>
    <cellStyle name="Hyperlink" xfId="2328" builtinId="8" hidden="1"/>
    <cellStyle name="Hyperlink" xfId="2320" builtinId="8" hidden="1"/>
    <cellStyle name="Hyperlink" xfId="2312" builtinId="8" hidden="1"/>
    <cellStyle name="Hyperlink" xfId="2304" builtinId="8" hidden="1"/>
    <cellStyle name="Hyperlink" xfId="2296" builtinId="8" hidden="1"/>
    <cellStyle name="Hyperlink" xfId="2288" builtinId="8" hidden="1"/>
    <cellStyle name="Hyperlink" xfId="2280" builtinId="8" hidden="1"/>
    <cellStyle name="Hyperlink" xfId="2272" builtinId="8" hidden="1"/>
    <cellStyle name="Hyperlink" xfId="2264" builtinId="8" hidden="1"/>
    <cellStyle name="Hyperlink" xfId="2256" builtinId="8" hidden="1"/>
    <cellStyle name="Hyperlink" xfId="2248" builtinId="8" hidden="1"/>
    <cellStyle name="Hyperlink" xfId="2240" builtinId="8" hidden="1"/>
    <cellStyle name="Hyperlink" xfId="2232" builtinId="8" hidden="1"/>
    <cellStyle name="Hyperlink" xfId="2224" builtinId="8" hidden="1"/>
    <cellStyle name="Hyperlink" xfId="2216" builtinId="8" hidden="1"/>
    <cellStyle name="Hyperlink" xfId="2208" builtinId="8" hidden="1"/>
    <cellStyle name="Hyperlink" xfId="2200" builtinId="8" hidden="1"/>
    <cellStyle name="Hyperlink" xfId="2192" builtinId="8" hidden="1"/>
    <cellStyle name="Hyperlink" xfId="2184" builtinId="8" hidden="1"/>
    <cellStyle name="Hyperlink" xfId="2176" builtinId="8" hidden="1"/>
    <cellStyle name="Hyperlink" xfId="2168" builtinId="8" hidden="1"/>
    <cellStyle name="Hyperlink" xfId="2160" builtinId="8" hidden="1"/>
    <cellStyle name="Hyperlink" xfId="2152" builtinId="8" hidden="1"/>
    <cellStyle name="Hyperlink" xfId="2144" builtinId="8" hidden="1"/>
    <cellStyle name="Hyperlink" xfId="2136" builtinId="8" hidden="1"/>
    <cellStyle name="Hyperlink" xfId="2128" builtinId="8" hidden="1"/>
    <cellStyle name="Hyperlink" xfId="2120" builtinId="8" hidden="1"/>
    <cellStyle name="Hyperlink" xfId="2112" builtinId="8" hidden="1"/>
    <cellStyle name="Hyperlink" xfId="2104" builtinId="8" hidden="1"/>
    <cellStyle name="Hyperlink" xfId="2096" builtinId="8" hidden="1"/>
    <cellStyle name="Hyperlink" xfId="2088" builtinId="8" hidden="1"/>
    <cellStyle name="Hyperlink" xfId="2080" builtinId="8" hidden="1"/>
    <cellStyle name="Hyperlink" xfId="2072" builtinId="8" hidden="1"/>
    <cellStyle name="Hyperlink" xfId="2064" builtinId="8" hidden="1"/>
    <cellStyle name="Hyperlink" xfId="2056" builtinId="8" hidden="1"/>
    <cellStyle name="Hyperlink" xfId="2048" builtinId="8" hidden="1"/>
    <cellStyle name="Hyperlink" xfId="2040" builtinId="8" hidden="1"/>
    <cellStyle name="Hyperlink" xfId="2032" builtinId="8" hidden="1"/>
    <cellStyle name="Hyperlink" xfId="2024" builtinId="8" hidden="1"/>
    <cellStyle name="Hyperlink" xfId="2016" builtinId="8" hidden="1"/>
    <cellStyle name="Hyperlink" xfId="2008" builtinId="8" hidden="1"/>
    <cellStyle name="Hyperlink" xfId="2000" builtinId="8" hidden="1"/>
    <cellStyle name="Hyperlink" xfId="1992" builtinId="8" hidden="1"/>
    <cellStyle name="Hyperlink" xfId="1984" builtinId="8" hidden="1"/>
    <cellStyle name="Hyperlink" xfId="1976" builtinId="8" hidden="1"/>
    <cellStyle name="Hyperlink" xfId="1968" builtinId="8" hidden="1"/>
    <cellStyle name="Hyperlink" xfId="1960" builtinId="8" hidden="1"/>
    <cellStyle name="Hyperlink" xfId="1952" builtinId="8" hidden="1"/>
    <cellStyle name="Hyperlink" xfId="1944" builtinId="8" hidden="1"/>
    <cellStyle name="Hyperlink" xfId="1936" builtinId="8" hidden="1"/>
    <cellStyle name="Hyperlink" xfId="1928" builtinId="8" hidden="1"/>
    <cellStyle name="Hyperlink" xfId="1920" builtinId="8" hidden="1"/>
    <cellStyle name="Hyperlink" xfId="1912" builtinId="8" hidden="1"/>
    <cellStyle name="Hyperlink" xfId="1904" builtinId="8" hidden="1"/>
    <cellStyle name="Hyperlink" xfId="1896" builtinId="8" hidden="1"/>
    <cellStyle name="Hyperlink" xfId="1888" builtinId="8" hidden="1"/>
    <cellStyle name="Hyperlink" xfId="1880" builtinId="8" hidden="1"/>
    <cellStyle name="Hyperlink" xfId="1872" builtinId="8" hidden="1"/>
    <cellStyle name="Hyperlink" xfId="1864" builtinId="8" hidden="1"/>
    <cellStyle name="Hyperlink" xfId="1856" builtinId="8" hidden="1"/>
    <cellStyle name="Hyperlink" xfId="1848" builtinId="8" hidden="1"/>
    <cellStyle name="Hyperlink" xfId="1840" builtinId="8" hidden="1"/>
    <cellStyle name="Hyperlink" xfId="1832" builtinId="8" hidden="1"/>
    <cellStyle name="Hyperlink" xfId="1824" builtinId="8" hidden="1"/>
    <cellStyle name="Hyperlink" xfId="1816" builtinId="8" hidden="1"/>
    <cellStyle name="Hyperlink" xfId="1808" builtinId="8" hidden="1"/>
    <cellStyle name="Hyperlink" xfId="1800" builtinId="8" hidden="1"/>
    <cellStyle name="Hyperlink" xfId="1792" builtinId="8" hidden="1"/>
    <cellStyle name="Hyperlink" xfId="1784" builtinId="8" hidden="1"/>
    <cellStyle name="Hyperlink" xfId="1776" builtinId="8" hidden="1"/>
    <cellStyle name="Hyperlink" xfId="1768" builtinId="8" hidden="1"/>
    <cellStyle name="Hyperlink" xfId="1760" builtinId="8" hidden="1"/>
    <cellStyle name="Hyperlink" xfId="1752" builtinId="8" hidden="1"/>
    <cellStyle name="Hyperlink" xfId="1744" builtinId="8" hidden="1"/>
    <cellStyle name="Hyperlink" xfId="1736" builtinId="8" hidden="1"/>
    <cellStyle name="Hyperlink" xfId="1728" builtinId="8" hidden="1"/>
    <cellStyle name="Hyperlink" xfId="1720" builtinId="8" hidden="1"/>
    <cellStyle name="Hyperlink" xfId="1712" builtinId="8" hidden="1"/>
    <cellStyle name="Hyperlink" xfId="1704" builtinId="8" hidden="1"/>
    <cellStyle name="Hyperlink" xfId="1696" builtinId="8" hidden="1"/>
    <cellStyle name="Hyperlink" xfId="1688" builtinId="8" hidden="1"/>
    <cellStyle name="Hyperlink" xfId="1680" builtinId="8" hidden="1"/>
    <cellStyle name="Hyperlink" xfId="1672" builtinId="8" hidden="1"/>
    <cellStyle name="Hyperlink" xfId="1664" builtinId="8" hidden="1"/>
    <cellStyle name="Hyperlink" xfId="1656" builtinId="8" hidden="1"/>
    <cellStyle name="Hyperlink" xfId="1648" builtinId="8" hidden="1"/>
    <cellStyle name="Hyperlink" xfId="1640" builtinId="8" hidden="1"/>
    <cellStyle name="Hyperlink" xfId="1632" builtinId="8" hidden="1"/>
    <cellStyle name="Hyperlink" xfId="1624" builtinId="8" hidden="1"/>
    <cellStyle name="Hyperlink" xfId="1616" builtinId="8" hidden="1"/>
    <cellStyle name="Hyperlink" xfId="1608" builtinId="8" hidden="1"/>
    <cellStyle name="Hyperlink" xfId="1600" builtinId="8" hidden="1"/>
    <cellStyle name="Hyperlink" xfId="1592" builtinId="8" hidden="1"/>
    <cellStyle name="Hyperlink" xfId="1584" builtinId="8" hidden="1"/>
    <cellStyle name="Hyperlink" xfId="1576" builtinId="8" hidden="1"/>
    <cellStyle name="Hyperlink" xfId="1568" builtinId="8" hidden="1"/>
    <cellStyle name="Hyperlink" xfId="1560" builtinId="8" hidden="1"/>
    <cellStyle name="Hyperlink" xfId="1552" builtinId="8" hidden="1"/>
    <cellStyle name="Hyperlink" xfId="1544" builtinId="8" hidden="1"/>
    <cellStyle name="Hyperlink" xfId="1536" builtinId="8" hidden="1"/>
    <cellStyle name="Hyperlink" xfId="1528" builtinId="8" hidden="1"/>
    <cellStyle name="Hyperlink" xfId="1520" builtinId="8" hidden="1"/>
    <cellStyle name="Hyperlink" xfId="1512" builtinId="8" hidden="1"/>
    <cellStyle name="Hyperlink" xfId="1504" builtinId="8" hidden="1"/>
    <cellStyle name="Hyperlink" xfId="1496" builtinId="8" hidden="1"/>
    <cellStyle name="Hyperlink" xfId="1488" builtinId="8" hidden="1"/>
    <cellStyle name="Hyperlink" xfId="1480" builtinId="8" hidden="1"/>
    <cellStyle name="Hyperlink" xfId="1472" builtinId="8" hidden="1"/>
    <cellStyle name="Hyperlink" xfId="1464" builtinId="8" hidden="1"/>
    <cellStyle name="Hyperlink" xfId="1456" builtinId="8" hidden="1"/>
    <cellStyle name="Hyperlink" xfId="1448" builtinId="8" hidden="1"/>
    <cellStyle name="Hyperlink" xfId="1440" builtinId="8" hidden="1"/>
    <cellStyle name="Hyperlink" xfId="1432" builtinId="8" hidden="1"/>
    <cellStyle name="Hyperlink" xfId="1424" builtinId="8" hidden="1"/>
    <cellStyle name="Hyperlink" xfId="1416" builtinId="8" hidden="1"/>
    <cellStyle name="Hyperlink" xfId="1408" builtinId="8" hidden="1"/>
    <cellStyle name="Hyperlink" xfId="1400" builtinId="8" hidden="1"/>
    <cellStyle name="Hyperlink" xfId="1392" builtinId="8" hidden="1"/>
    <cellStyle name="Hyperlink" xfId="1384" builtinId="8" hidden="1"/>
    <cellStyle name="Hyperlink" xfId="1376" builtinId="8" hidden="1"/>
    <cellStyle name="Hyperlink" xfId="1368" builtinId="8" hidden="1"/>
    <cellStyle name="Hyperlink" xfId="1360" builtinId="8" hidden="1"/>
    <cellStyle name="Hyperlink" xfId="1352" builtinId="8" hidden="1"/>
    <cellStyle name="Hyperlink" xfId="1344" builtinId="8" hidden="1"/>
    <cellStyle name="Hyperlink" xfId="1336" builtinId="8" hidden="1"/>
    <cellStyle name="Hyperlink" xfId="1328" builtinId="8" hidden="1"/>
    <cellStyle name="Hyperlink" xfId="1320" builtinId="8" hidden="1"/>
    <cellStyle name="Hyperlink" xfId="1312" builtinId="8" hidden="1"/>
    <cellStyle name="Hyperlink" xfId="1304" builtinId="8" hidden="1"/>
    <cellStyle name="Hyperlink" xfId="1296" builtinId="8" hidden="1"/>
    <cellStyle name="Hyperlink" xfId="1288" builtinId="8" hidden="1"/>
    <cellStyle name="Hyperlink" xfId="1280" builtinId="8" hidden="1"/>
    <cellStyle name="Hyperlink" xfId="1272" builtinId="8" hidden="1"/>
    <cellStyle name="Hyperlink" xfId="1264" builtinId="8" hidden="1"/>
    <cellStyle name="Hyperlink" xfId="1256" builtinId="8" hidden="1"/>
    <cellStyle name="Hyperlink" xfId="1248" builtinId="8" hidden="1"/>
    <cellStyle name="Hyperlink" xfId="1240" builtinId="8" hidden="1"/>
    <cellStyle name="Hyperlink" xfId="1232" builtinId="8" hidden="1"/>
    <cellStyle name="Hyperlink" xfId="1224" builtinId="8" hidden="1"/>
    <cellStyle name="Hyperlink" xfId="1216" builtinId="8" hidden="1"/>
    <cellStyle name="Hyperlink" xfId="1208" builtinId="8" hidden="1"/>
    <cellStyle name="Hyperlink" xfId="1200" builtinId="8" hidden="1"/>
    <cellStyle name="Hyperlink" xfId="1192" builtinId="8" hidden="1"/>
    <cellStyle name="Hyperlink" xfId="1184" builtinId="8" hidden="1"/>
    <cellStyle name="Hyperlink" xfId="1176" builtinId="8" hidden="1"/>
    <cellStyle name="Hyperlink" xfId="1168" builtinId="8" hidden="1"/>
    <cellStyle name="Hyperlink" xfId="1160" builtinId="8" hidden="1"/>
    <cellStyle name="Hyperlink" xfId="1152" builtinId="8" hidden="1"/>
    <cellStyle name="Hyperlink" xfId="114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28" builtinId="8" hidden="1"/>
    <cellStyle name="Hyperlink" xfId="1112" builtinId="8" hidden="1"/>
    <cellStyle name="Hyperlink" xfId="1096" builtinId="8" hidden="1"/>
    <cellStyle name="Hyperlink" xfId="1080" builtinId="8" hidden="1"/>
    <cellStyle name="Hyperlink" xfId="1064" builtinId="8" hidden="1"/>
    <cellStyle name="Hyperlink" xfId="1048" builtinId="8" hidden="1"/>
    <cellStyle name="Hyperlink" xfId="1032" builtinId="8" hidden="1"/>
    <cellStyle name="Hyperlink" xfId="1016" builtinId="8" hidden="1"/>
    <cellStyle name="Hyperlink" xfId="1000" builtinId="8" hidden="1"/>
    <cellStyle name="Hyperlink" xfId="984" builtinId="8" hidden="1"/>
    <cellStyle name="Hyperlink" xfId="968" builtinId="8" hidden="1"/>
    <cellStyle name="Hyperlink" xfId="952" builtinId="8" hidden="1"/>
    <cellStyle name="Hyperlink" xfId="936" builtinId="8" hidden="1"/>
    <cellStyle name="Hyperlink" xfId="920" builtinId="8" hidden="1"/>
    <cellStyle name="Hyperlink" xfId="904" builtinId="8" hidden="1"/>
    <cellStyle name="Hyperlink" xfId="888" builtinId="8" hidden="1"/>
    <cellStyle name="Hyperlink" xfId="872" builtinId="8" hidden="1"/>
    <cellStyle name="Hyperlink" xfId="856" builtinId="8" hidden="1"/>
    <cellStyle name="Hyperlink" xfId="840" builtinId="8" hidden="1"/>
    <cellStyle name="Hyperlink" xfId="824" builtinId="8" hidden="1"/>
    <cellStyle name="Hyperlink" xfId="808" builtinId="8" hidden="1"/>
    <cellStyle name="Hyperlink" xfId="792" builtinId="8" hidden="1"/>
    <cellStyle name="Hyperlink" xfId="776" builtinId="8" hidden="1"/>
    <cellStyle name="Hyperlink" xfId="760" builtinId="8" hidden="1"/>
    <cellStyle name="Hyperlink" xfId="744" builtinId="8" hidden="1"/>
    <cellStyle name="Hyperlink" xfId="728" builtinId="8" hidden="1"/>
    <cellStyle name="Hyperlink" xfId="712" builtinId="8" hidden="1"/>
    <cellStyle name="Hyperlink" xfId="696" builtinId="8" hidden="1"/>
    <cellStyle name="Hyperlink" xfId="680" builtinId="8" hidden="1"/>
    <cellStyle name="Hyperlink" xfId="664" builtinId="8" hidden="1"/>
    <cellStyle name="Hyperlink" xfId="648" builtinId="8" hidden="1"/>
    <cellStyle name="Hyperlink" xfId="632" builtinId="8" hidden="1"/>
    <cellStyle name="Hyperlink" xfId="616" builtinId="8" hidden="1"/>
    <cellStyle name="Hyperlink" xfId="600" builtinId="8" hidden="1"/>
    <cellStyle name="Hyperlink" xfId="584" builtinId="8" hidden="1"/>
    <cellStyle name="Hyperlink" xfId="568" builtinId="8" hidden="1"/>
    <cellStyle name="Hyperlink" xfId="552" builtinId="8" hidden="1"/>
    <cellStyle name="Hyperlink" xfId="536" builtinId="8" hidden="1"/>
    <cellStyle name="Hyperlink" xfId="520" builtinId="8" hidden="1"/>
    <cellStyle name="Hyperlink" xfId="504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488" builtinId="8" hidden="1"/>
    <cellStyle name="Hyperlink" xfId="456" builtinId="8" hidden="1"/>
    <cellStyle name="Hyperlink" xfId="424" builtinId="8" hidden="1"/>
    <cellStyle name="Hyperlink" xfId="392" builtinId="8" hidden="1"/>
    <cellStyle name="Hyperlink" xfId="360" builtinId="8" hidden="1"/>
    <cellStyle name="Hyperlink" xfId="328" builtinId="8" hidden="1"/>
    <cellStyle name="Hyperlink" xfId="296" builtinId="8" hidden="1"/>
    <cellStyle name="Hyperlink" xfId="264" builtinId="8" hidden="1"/>
    <cellStyle name="Hyperlink" xfId="134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00" builtinId="8" hidden="1"/>
    <cellStyle name="Hyperlink" xfId="136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34" builtinId="8" hidden="1"/>
    <cellStyle name="Hyperlink" xfId="36" builtinId="8" hidden="1"/>
    <cellStyle name="Hyperlink" xfId="38" builtinId="8" hidden="1"/>
    <cellStyle name="Hyperlink" xfId="30" builtinId="8" hidden="1"/>
    <cellStyle name="Hyperlink" xfId="32" builtinId="8" hidden="1"/>
    <cellStyle name="Hyperlink" xfId="28" builtinId="8" hidden="1"/>
    <cellStyle name="Hyperlink 2" xfId="2559" xr:uid="{00000000-0005-0000-0000-0000A70C0000}"/>
    <cellStyle name="Input" xfId="2560" xr:uid="{00000000-0005-0000-0000-0000A80C0000}"/>
    <cellStyle name="Invoer 2" xfId="2561" xr:uid="{00000000-0005-0000-0000-0000A90C0000}"/>
    <cellStyle name="Komma" xfId="9" builtinId="3"/>
    <cellStyle name="Komma 2" xfId="2562" xr:uid="{00000000-0005-0000-0000-0000AC0C0000}"/>
    <cellStyle name="Komma0" xfId="2563" xr:uid="{00000000-0005-0000-0000-0000AD0C0000}"/>
    <cellStyle name="kop" xfId="10" xr:uid="{00000000-0005-0000-0000-0000AE0C0000}"/>
    <cellStyle name="Kop 1 2" xfId="2564" xr:uid="{00000000-0005-0000-0000-0000AF0C0000}"/>
    <cellStyle name="Kop 2 2" xfId="2565" xr:uid="{00000000-0005-0000-0000-0000B00C0000}"/>
    <cellStyle name="Kop 3 2" xfId="2566" xr:uid="{00000000-0005-0000-0000-0000B10C0000}"/>
    <cellStyle name="Kop 4 2" xfId="2567" xr:uid="{00000000-0005-0000-0000-0000B20C0000}"/>
    <cellStyle name="Koppen_rekenblad" xfId="11" xr:uid="{00000000-0005-0000-0000-0000B30C0000}"/>
    <cellStyle name="koppenrekenblad2" xfId="12" xr:uid="{00000000-0005-0000-0000-0000B40C0000}"/>
    <cellStyle name="Linked Cell" xfId="2568" xr:uid="{00000000-0005-0000-0000-0000B50C0000}"/>
    <cellStyle name="m2" xfId="13" xr:uid="{00000000-0005-0000-0000-0000B60C0000}"/>
    <cellStyle name="Neutraal" xfId="14" xr:uid="{00000000-0005-0000-0000-0000B70C0000}"/>
    <cellStyle name="Neutraal 2" xfId="2569" xr:uid="{00000000-0005-0000-0000-0000B80C0000}"/>
    <cellStyle name="Neutral" xfId="2570" xr:uid="{00000000-0005-0000-0000-0000B90C0000}"/>
    <cellStyle name="Normaal 2" xfId="2506" xr:uid="{00000000-0005-0000-0000-0000BB0C0000}"/>
    <cellStyle name="Normaal 3" xfId="2511" xr:uid="{00000000-0005-0000-0000-0000BC0C0000}"/>
    <cellStyle name="Normaal 4" xfId="2571" xr:uid="{00000000-0005-0000-0000-0000BD0C0000}"/>
    <cellStyle name="Normal_ KLM-CTR(STA)-Recap.xls" xfId="15" xr:uid="{00000000-0005-0000-0000-0000BE0C0000}"/>
    <cellStyle name="Normal_ATIR-Calc-Uurtarief 2001" xfId="16" xr:uid="{00000000-0005-0000-0000-0000C10C0000}"/>
    <cellStyle name="Normal_CALCULATIEBLAD.XLS" xfId="17" xr:uid="{00000000-0005-0000-0000-0000C20C0000}"/>
    <cellStyle name="Normal_GH-Calc_perceel_1_en_2.xls" xfId="18" xr:uid="{00000000-0005-0000-0000-0000C30C0000}"/>
    <cellStyle name="Normal_GH-Calc_perceel_1_en_2.xls 2" xfId="3322" xr:uid="{506EE6C4-0FEC-3745-8C8B-2EE313FB7477}"/>
    <cellStyle name="Normal_schoonmaaktot.xls" xfId="19" xr:uid="{00000000-0005-0000-0000-0000C70C0000}"/>
    <cellStyle name="Normal_Uurtarieven 2000 LEVERANCIER" xfId="20" xr:uid="{00000000-0005-0000-0000-0000C80C0000}"/>
    <cellStyle name="Note" xfId="2572" xr:uid="{00000000-0005-0000-0000-0000CA0C0000}"/>
    <cellStyle name="Note 2" xfId="2573" xr:uid="{00000000-0005-0000-0000-0000CB0C0000}"/>
    <cellStyle name="Note_1.3-Basis ruimtestaat" xfId="2574" xr:uid="{00000000-0005-0000-0000-0000CC0C0000}"/>
    <cellStyle name="Notitie 2" xfId="2575" xr:uid="{00000000-0005-0000-0000-0000CD0C0000}"/>
    <cellStyle name="Ongedefinieerd" xfId="21" xr:uid="{00000000-0005-0000-0000-0000CE0C0000}"/>
    <cellStyle name="Ongeldig 2" xfId="2576" xr:uid="{00000000-0005-0000-0000-0000CF0C0000}"/>
    <cellStyle name="Output" xfId="2577" xr:uid="{00000000-0005-0000-0000-0000D00C0000}"/>
    <cellStyle name="Procent" xfId="22" builtinId="5"/>
    <cellStyle name="Procent 2" xfId="2512" xr:uid="{00000000-0005-0000-0000-0000D20C0000}"/>
    <cellStyle name="Procent 2 2" xfId="2578" xr:uid="{00000000-0005-0000-0000-0000D30C0000}"/>
    <cellStyle name="Procent 2 3" xfId="2579" xr:uid="{00000000-0005-0000-0000-0000D40C0000}"/>
    <cellStyle name="Procent 2 4" xfId="3325" xr:uid="{36EDFA12-488F-884E-946A-6E8E14137617}"/>
    <cellStyle name="Procent 3" xfId="2580" xr:uid="{00000000-0005-0000-0000-0000D50C0000}"/>
    <cellStyle name="Procent 3 2" xfId="2581" xr:uid="{00000000-0005-0000-0000-0000D60C0000}"/>
    <cellStyle name="Procent 4" xfId="2582" xr:uid="{00000000-0005-0000-0000-0000D70C0000}"/>
    <cellStyle name="Procent 4 2" xfId="2583" xr:uid="{00000000-0005-0000-0000-0000D80C0000}"/>
    <cellStyle name="Procent 5" xfId="2584" xr:uid="{00000000-0005-0000-0000-0000D90C0000}"/>
    <cellStyle name="Ruimtestaat_Koppen" xfId="23" xr:uid="{00000000-0005-0000-0000-0000DA0C0000}"/>
    <cellStyle name="Standaard" xfId="0" builtinId="0"/>
    <cellStyle name="Standaard 10" xfId="2585" xr:uid="{00000000-0005-0000-0000-0000DB0C0000}"/>
    <cellStyle name="Standaard 11" xfId="2586" xr:uid="{00000000-0005-0000-0000-0000DC0C0000}"/>
    <cellStyle name="Standaard 11 2" xfId="2587" xr:uid="{00000000-0005-0000-0000-0000DD0C0000}"/>
    <cellStyle name="Standaard 12" xfId="2588" xr:uid="{00000000-0005-0000-0000-0000DE0C0000}"/>
    <cellStyle name="Standaard 13" xfId="2589" xr:uid="{00000000-0005-0000-0000-0000DF0C0000}"/>
    <cellStyle name="Standaard 14" xfId="3321" xr:uid="{657A85D1-B4A8-5E43-BBDF-81C8D89D9809}"/>
    <cellStyle name="Standaard 15" xfId="3324" xr:uid="{FB2D81FC-2D8A-B644-89CF-9584FF7B0086}"/>
    <cellStyle name="Standaard 16" xfId="3323" xr:uid="{1931E60C-0645-ED49-8B48-1FF66EF630D2}"/>
    <cellStyle name="Standaard 2" xfId="2590" xr:uid="{00000000-0005-0000-0000-0000E00C0000}"/>
    <cellStyle name="Standaard 2 2" xfId="2591" xr:uid="{00000000-0005-0000-0000-0000E10C0000}"/>
    <cellStyle name="Standaard 2_1.3a-Voorbewerking" xfId="2592" xr:uid="{00000000-0005-0000-0000-0000E20C0000}"/>
    <cellStyle name="Standaard 3" xfId="2593" xr:uid="{00000000-0005-0000-0000-0000E30C0000}"/>
    <cellStyle name="Standaard 3 2" xfId="2594" xr:uid="{00000000-0005-0000-0000-0000E40C0000}"/>
    <cellStyle name="Standaard 4" xfId="2595" xr:uid="{00000000-0005-0000-0000-0000E50C0000}"/>
    <cellStyle name="Standaard 4 2" xfId="2596" xr:uid="{00000000-0005-0000-0000-0000E60C0000}"/>
    <cellStyle name="Standaard 5" xfId="2597" xr:uid="{00000000-0005-0000-0000-0000E70C0000}"/>
    <cellStyle name="Standaard 5 2" xfId="2598" xr:uid="{00000000-0005-0000-0000-0000E80C0000}"/>
    <cellStyle name="Standaard 6" xfId="2599" xr:uid="{00000000-0005-0000-0000-0000E90C0000}"/>
    <cellStyle name="Standaard 6 2" xfId="2600" xr:uid="{00000000-0005-0000-0000-0000EA0C0000}"/>
    <cellStyle name="Standaard 7" xfId="2601" xr:uid="{00000000-0005-0000-0000-0000EB0C0000}"/>
    <cellStyle name="Standaard 7 2" xfId="2602" xr:uid="{00000000-0005-0000-0000-0000EC0C0000}"/>
    <cellStyle name="Standaard 8" xfId="2603" xr:uid="{00000000-0005-0000-0000-0000ED0C0000}"/>
    <cellStyle name="Standaard 9" xfId="2604" xr:uid="{00000000-0005-0000-0000-0000EE0C0000}"/>
    <cellStyle name="Standaard 9 2" xfId="2605" xr:uid="{00000000-0005-0000-0000-0000EF0C0000}"/>
    <cellStyle name="Standaard_Blad1" xfId="24" xr:uid="{00000000-0005-0000-0000-0000F00C0000}"/>
    <cellStyle name="Titel" xfId="25" xr:uid="{00000000-0005-0000-0000-0000F10C0000}"/>
    <cellStyle name="Titel 2" xfId="2606" xr:uid="{00000000-0005-0000-0000-0000F20C0000}"/>
    <cellStyle name="Title" xfId="2607" xr:uid="{00000000-0005-0000-0000-0000F30C0000}"/>
    <cellStyle name="Totaal" xfId="26" xr:uid="{00000000-0005-0000-0000-0000F40C0000}"/>
    <cellStyle name="Totaal 2" xfId="2608" xr:uid="{00000000-0005-0000-0000-0000F50C0000}"/>
    <cellStyle name="Total" xfId="2609" xr:uid="{00000000-0005-0000-0000-0000F60C0000}"/>
    <cellStyle name="Uitvoer 2" xfId="2610" xr:uid="{00000000-0005-0000-0000-0000F70C0000}"/>
    <cellStyle name="Valuta 2" xfId="2611" xr:uid="{00000000-0005-0000-0000-0000F90C0000}"/>
    <cellStyle name="Valuta 2 2" xfId="2612" xr:uid="{00000000-0005-0000-0000-0000FA0C0000}"/>
    <cellStyle name="Valuta 2 3" xfId="2613" xr:uid="{00000000-0005-0000-0000-0000FB0C0000}"/>
    <cellStyle name="Valuta 3" xfId="2614" xr:uid="{00000000-0005-0000-0000-0000FC0C0000}"/>
    <cellStyle name="Valuta 3 2" xfId="3326" xr:uid="{5453A939-70CC-5E4C-9850-594A154A3F3E}"/>
    <cellStyle name="Valuta0" xfId="2615" xr:uid="{00000000-0005-0000-0000-0000FD0C0000}"/>
    <cellStyle name="Verklarende tekst 2" xfId="2616" xr:uid="{00000000-0005-0000-0000-0000FE0C0000}"/>
    <cellStyle name="Waarschuwingstekst" xfId="27" xr:uid="{00000000-0005-0000-0000-0000FF0C0000}"/>
    <cellStyle name="Waarschuwingstekst 2" xfId="2617" xr:uid="{00000000-0005-0000-0000-0000000D0000}"/>
    <cellStyle name="Warning Text" xfId="2618" xr:uid="{00000000-0005-0000-0000-0000010D0000}"/>
  </cellStyles>
  <dxfs count="162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ill>
        <patternFill patternType="solid">
          <fgColor rgb="FFFBE7CE"/>
          <bgColor rgb="FF00000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55266"/>
      <color rgb="FFC4BA47"/>
      <color rgb="FF54637B"/>
      <color rgb="FF424242"/>
      <color rgb="FFFCFDF9"/>
      <color rgb="FF407879"/>
      <color rgb="FF78A742"/>
      <color rgb="FFA9A879"/>
      <color rgb="FFD7A800"/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759918</xdr:colOff>
      <xdr:row>54</xdr:row>
      <xdr:rowOff>93689</xdr:rowOff>
    </xdr:from>
    <xdr:to>
      <xdr:col>10</xdr:col>
      <xdr:colOff>305424</xdr:colOff>
      <xdr:row>58</xdr:row>
      <xdr:rowOff>62459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410D66B-4398-0D42-BD93-1BD793C7340D}"/>
            </a:ext>
          </a:extLst>
        </xdr:cNvPr>
        <xdr:cNvSpPr/>
      </xdr:nvSpPr>
      <xdr:spPr bwMode="auto">
        <a:xfrm>
          <a:off x="7411803" y="10805410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759918</xdr:colOff>
      <xdr:row>72</xdr:row>
      <xdr:rowOff>93689</xdr:rowOff>
    </xdr:from>
    <xdr:to>
      <xdr:col>10</xdr:col>
      <xdr:colOff>305424</xdr:colOff>
      <xdr:row>76</xdr:row>
      <xdr:rowOff>62459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5A469482-48CE-A349-B865-226CA7C390FB}"/>
            </a:ext>
          </a:extLst>
        </xdr:cNvPr>
        <xdr:cNvSpPr/>
      </xdr:nvSpPr>
      <xdr:spPr bwMode="auto">
        <a:xfrm>
          <a:off x="7411803" y="11148935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155511</xdr:colOff>
      <xdr:row>88</xdr:row>
      <xdr:rowOff>114300</xdr:rowOff>
    </xdr:from>
    <xdr:to>
      <xdr:col>13</xdr:col>
      <xdr:colOff>25919</xdr:colOff>
      <xdr:row>90</xdr:row>
      <xdr:rowOff>165100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7E86FD2-5500-1240-9247-08516A7E0537}"/>
            </a:ext>
          </a:extLst>
        </xdr:cNvPr>
        <xdr:cNvSpPr/>
      </xdr:nvSpPr>
      <xdr:spPr bwMode="auto">
        <a:xfrm>
          <a:off x="2941735" y="21237769"/>
          <a:ext cx="17002449" cy="685800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K:/C:/C/Users/r.sakko/AppData/Local/Microsoft/Windows/INetCache/Content.Outlook/U4RJF6YL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ron.ANCORABV/Documents/SPOOR/ICCA/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piet/Documents/%20%20ICCA/Dashboard/01.%20SPURD/02.%202018/01.%20SPURD%20gym/01.%20HSO/02.%20Contractmodule/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3 (3)"/>
      <sheetName val="Blad3 (2)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rugblik">
  <a:themeElements>
    <a:clrScheme name="Terugblik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Terugblik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erugblik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C2E0-2C22-6A4E-8F28-5056BCD0C71D}">
  <dimension ref="C9:G31"/>
  <sheetViews>
    <sheetView showGridLines="0" showRowColHeaders="0" topLeftCell="A25" zoomScale="104" workbookViewId="0">
      <selection activeCell="E20" sqref="E20"/>
    </sheetView>
  </sheetViews>
  <sheetFormatPr defaultColWidth="10.81640625" defaultRowHeight="12.5"/>
  <cols>
    <col min="4" max="4" width="19.54296875" bestFit="1" customWidth="1"/>
    <col min="5" max="5" width="68.453125" bestFit="1" customWidth="1"/>
  </cols>
  <sheetData>
    <row r="9" spans="3:7" ht="13" thickBot="1"/>
    <row r="10" spans="3:7" ht="20" thickTop="1">
      <c r="C10" s="6"/>
      <c r="D10" s="7"/>
      <c r="E10" s="8"/>
      <c r="F10" s="7"/>
      <c r="G10" s="9"/>
    </row>
    <row r="11" spans="3:7" ht="28">
      <c r="C11" s="10"/>
      <c r="D11" s="547"/>
      <c r="E11" s="551" t="s">
        <v>0</v>
      </c>
      <c r="F11" s="547"/>
      <c r="G11" s="545"/>
    </row>
    <row r="12" spans="3:7" ht="28">
      <c r="C12" s="10"/>
      <c r="D12" s="547"/>
      <c r="E12" s="551"/>
      <c r="F12" s="547"/>
      <c r="G12" s="545"/>
    </row>
    <row r="13" spans="3:7" ht="28">
      <c r="C13" s="10"/>
      <c r="D13" s="547"/>
      <c r="E13" s="551" t="s">
        <v>1</v>
      </c>
      <c r="F13" s="547"/>
      <c r="G13" s="545"/>
    </row>
    <row r="14" spans="3:7" ht="28">
      <c r="C14" s="10"/>
      <c r="D14" s="547"/>
      <c r="E14" s="551" t="s">
        <v>2</v>
      </c>
      <c r="F14" s="547"/>
      <c r="G14" s="545"/>
    </row>
    <row r="15" spans="3:7" ht="28">
      <c r="C15" s="10"/>
      <c r="D15" s="547"/>
      <c r="E15" s="551" t="s">
        <v>3</v>
      </c>
      <c r="F15" s="547"/>
      <c r="G15" s="545"/>
    </row>
    <row r="16" spans="3:7" ht="27.5">
      <c r="C16" s="10"/>
      <c r="D16" s="547"/>
      <c r="E16" s="552"/>
      <c r="F16" s="547"/>
      <c r="G16" s="545"/>
    </row>
    <row r="17" spans="3:7" ht="28">
      <c r="C17" s="10"/>
      <c r="D17" s="547"/>
      <c r="E17" s="553" t="s">
        <v>4</v>
      </c>
      <c r="F17" s="547"/>
      <c r="G17" s="545"/>
    </row>
    <row r="18" spans="3:7" ht="28">
      <c r="C18" s="10"/>
      <c r="D18" s="547"/>
      <c r="E18" s="551" t="s">
        <v>5</v>
      </c>
      <c r="F18" s="547"/>
      <c r="G18" s="545"/>
    </row>
    <row r="19" spans="3:7" ht="20">
      <c r="C19" s="10"/>
      <c r="D19" s="547"/>
      <c r="E19" s="547"/>
      <c r="F19" s="547"/>
      <c r="G19" s="545"/>
    </row>
    <row r="20" spans="3:7" ht="28">
      <c r="C20" s="10"/>
      <c r="D20" s="548"/>
      <c r="E20" s="560" t="s">
        <v>6</v>
      </c>
      <c r="F20" s="548"/>
      <c r="G20" s="545"/>
    </row>
    <row r="21" spans="3:7" ht="20">
      <c r="C21" s="10"/>
      <c r="D21" s="547"/>
      <c r="E21" s="547"/>
      <c r="F21" s="547"/>
      <c r="G21" s="545"/>
    </row>
    <row r="22" spans="3:7" ht="20">
      <c r="C22" s="10"/>
      <c r="D22" s="547"/>
      <c r="E22" s="547"/>
      <c r="F22" s="547"/>
      <c r="G22" s="545"/>
    </row>
    <row r="23" spans="3:7" ht="25">
      <c r="C23" s="10"/>
      <c r="D23" s="554" t="s">
        <v>7</v>
      </c>
      <c r="E23" s="555">
        <v>45017</v>
      </c>
      <c r="F23" s="546"/>
      <c r="G23" s="545"/>
    </row>
    <row r="24" spans="3:7" ht="25">
      <c r="C24" s="10"/>
      <c r="D24" s="554"/>
      <c r="E24" s="556"/>
      <c r="F24" s="546"/>
      <c r="G24" s="545"/>
    </row>
    <row r="25" spans="3:7" ht="25">
      <c r="C25" s="10"/>
      <c r="D25" s="554" t="s">
        <v>8</v>
      </c>
      <c r="E25" s="557" t="s">
        <v>9</v>
      </c>
      <c r="F25" s="546"/>
      <c r="G25" s="545"/>
    </row>
    <row r="26" spans="3:7" ht="25">
      <c r="C26" s="10"/>
      <c r="D26" s="554"/>
      <c r="E26" s="556"/>
      <c r="F26" s="546"/>
      <c r="G26" s="545"/>
    </row>
    <row r="27" spans="3:7" ht="25">
      <c r="C27" s="10"/>
      <c r="D27" s="558" t="s">
        <v>10</v>
      </c>
      <c r="E27" s="559" t="str">
        <f ca="1">REPLACE(LEFT(CELL("bestandsnaam",C24),SEARCH("]",CELL("bestandsnaam",C24))-6),1,SEARCH("[",CELL("bestandsnaam",C24)),"")</f>
        <v xml:space="preserve">Bijlage E1 - Calculatiemodel  St Kolom Perceel 1 </v>
      </c>
      <c r="F27" s="546"/>
      <c r="G27" s="545"/>
    </row>
    <row r="28" spans="3:7" ht="20">
      <c r="C28" s="10"/>
      <c r="D28" s="547"/>
      <c r="E28" s="547"/>
      <c r="F28" s="547"/>
      <c r="G28" s="545"/>
    </row>
    <row r="29" spans="3:7" ht="20">
      <c r="C29" s="10"/>
      <c r="D29" s="547"/>
      <c r="E29" s="547"/>
      <c r="F29" s="547"/>
      <c r="G29" s="545"/>
    </row>
    <row r="30" spans="3:7" ht="14" thickBot="1">
      <c r="C30" s="11"/>
      <c r="D30" s="12"/>
      <c r="E30" s="12"/>
      <c r="F30" s="12"/>
      <c r="G30" s="13"/>
    </row>
    <row r="31" spans="3:7" ht="13" thickTop="1"/>
  </sheetData>
  <sheetProtection algorithmName="SHA-512" hashValue="JBtM7gjcunoWgnTdRFkOzNbDkzjJ0RBVmVeQLoiRZtrgCn10r1lfYwHjLciJwVRbmPSHIijnbsoAQdT3LoxIBg==" saltValue="bRXhcvCuwL0nYN8k3vsiqA==" spinCount="100000" sheet="1" objects="1" scenarios="1"/>
  <pageMargins left="0.7" right="0.7" top="0.75" bottom="0.75" header="0.3" footer="0.3"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V65613"/>
  <sheetViews>
    <sheetView showGridLines="0" showRowColHeaders="0" showZeros="0" showOutlineSymbols="0" zoomScale="59" zoomScaleNormal="60" zoomScaleSheetLayoutView="75" zoomScalePageLayoutView="120" workbookViewId="0">
      <pane ySplit="12" topLeftCell="A39" activePane="bottomLeft" state="frozenSplit"/>
      <selection activeCell="E55" sqref="E55"/>
      <selection pane="bottomLeft" activeCell="J56" sqref="J56"/>
    </sheetView>
  </sheetViews>
  <sheetFormatPr defaultColWidth="10.81640625" defaultRowHeight="13.5" zeroHeight="1"/>
  <cols>
    <col min="1" max="1" width="18" style="4" customWidth="1"/>
    <col min="2" max="2" width="15.1796875" style="21" customWidth="1"/>
    <col min="3" max="3" width="3.453125" style="21" customWidth="1"/>
    <col min="4" max="4" width="46" style="40" customWidth="1"/>
    <col min="5" max="5" width="18" style="21" customWidth="1"/>
    <col min="6" max="8" width="18.81640625" style="21" customWidth="1"/>
    <col min="9" max="9" width="19.1796875" style="21" customWidth="1"/>
    <col min="10" max="10" width="20.1796875" style="21" customWidth="1"/>
    <col min="11" max="11" width="5.54296875" style="24" customWidth="1"/>
    <col min="12" max="12" width="14.81640625" style="1" hidden="1" customWidth="1"/>
    <col min="13" max="13" width="14.1796875" style="1" hidden="1" customWidth="1"/>
    <col min="14" max="14" width="27.1796875" style="1" hidden="1" customWidth="1"/>
    <col min="15" max="15" width="11.81640625" style="1" hidden="1" customWidth="1"/>
    <col min="16" max="17" width="10.81640625" style="1" hidden="1" customWidth="1"/>
    <col min="18" max="256" width="10.81640625" style="1" customWidth="1"/>
    <col min="257" max="16384" width="10.81640625" style="1"/>
  </cols>
  <sheetData>
    <row r="1" spans="1:11" ht="9" customHeight="1" thickBot="1">
      <c r="H1" s="87"/>
      <c r="I1" s="87"/>
      <c r="J1" s="87"/>
      <c r="K1" s="88"/>
    </row>
    <row r="2" spans="1:11" ht="8.15" customHeight="1">
      <c r="D2" s="89"/>
      <c r="E2" s="90"/>
      <c r="F2" s="90"/>
      <c r="G2" s="90"/>
      <c r="H2" s="87"/>
      <c r="I2" s="87"/>
      <c r="J2" s="87"/>
      <c r="K2" s="88"/>
    </row>
    <row r="3" spans="1:11" hidden="1">
      <c r="H3" s="87"/>
      <c r="I3" s="87"/>
      <c r="J3" s="87"/>
      <c r="K3" s="88"/>
    </row>
    <row r="4" spans="1:11" ht="6" customHeight="1">
      <c r="D4" s="22"/>
      <c r="E4" s="23"/>
    </row>
    <row r="5" spans="1:11" s="14" customFormat="1" ht="15.5">
      <c r="A5" s="4"/>
      <c r="B5" s="25"/>
      <c r="C5" s="25"/>
      <c r="D5" s="77" t="s">
        <v>11</v>
      </c>
      <c r="E5" s="78" t="s">
        <v>12</v>
      </c>
      <c r="F5" s="26"/>
      <c r="G5" s="26"/>
      <c r="H5" s="27"/>
      <c r="I5" s="26"/>
      <c r="J5" s="26"/>
      <c r="K5" s="28"/>
    </row>
    <row r="6" spans="1:11" s="14" customFormat="1" ht="16" customHeight="1">
      <c r="A6" s="4"/>
      <c r="B6" s="25"/>
      <c r="C6" s="25"/>
      <c r="D6" s="77" t="s">
        <v>13</v>
      </c>
      <c r="E6" s="29" t="str">
        <f>Voorblad!$E$17</f>
        <v>Stichting Kolom</v>
      </c>
      <c r="F6" s="26"/>
      <c r="G6" s="26"/>
      <c r="H6" s="30"/>
      <c r="I6" s="30"/>
      <c r="J6" s="30"/>
      <c r="K6" s="28"/>
    </row>
    <row r="7" spans="1:11" s="14" customFormat="1" ht="16" customHeight="1">
      <c r="A7" s="4"/>
      <c r="C7" s="25"/>
      <c r="D7" s="77" t="s">
        <v>14</v>
      </c>
      <c r="E7" s="29" t="str">
        <f>Voorblad!$E$18</f>
        <v>Regio Amsterdam - Haarlem</v>
      </c>
      <c r="F7" s="26"/>
      <c r="G7" s="26"/>
      <c r="H7" s="30"/>
      <c r="I7" s="30"/>
      <c r="J7" s="30"/>
      <c r="K7" s="28"/>
    </row>
    <row r="8" spans="1:11" s="14" customFormat="1" ht="16" customHeight="1">
      <c r="A8" s="4"/>
      <c r="C8" s="25"/>
      <c r="D8" s="77" t="s">
        <v>15</v>
      </c>
      <c r="E8" s="31" t="str">
        <f>Voorblad!$E$25</f>
        <v>2009-46–2022</v>
      </c>
      <c r="F8" s="26"/>
      <c r="G8" s="26"/>
      <c r="H8" s="30"/>
      <c r="I8" s="30"/>
      <c r="J8" s="30"/>
      <c r="K8" s="28"/>
    </row>
    <row r="9" spans="1:11" s="14" customFormat="1" ht="15.5">
      <c r="A9" s="4"/>
      <c r="C9" s="25"/>
      <c r="D9" s="77" t="s">
        <v>16</v>
      </c>
      <c r="E9" s="32" t="str">
        <f ca="1">Voorblad!$E$27</f>
        <v xml:space="preserve">Bijlage E1 - Calculatiemodel  St Kolom Perceel 1 </v>
      </c>
      <c r="F9" s="26"/>
      <c r="G9" s="26"/>
      <c r="H9" s="26"/>
      <c r="K9" s="28"/>
    </row>
    <row r="10" spans="1:11" s="14" customFormat="1" ht="15.5">
      <c r="A10" s="4"/>
      <c r="C10" s="25"/>
      <c r="D10" s="77" t="s">
        <v>17</v>
      </c>
      <c r="E10" s="79" t="str">
        <f>Voorblad!$E$20</f>
        <v>[Naam organisatie Inschrijver]</v>
      </c>
      <c r="F10" s="26"/>
      <c r="G10" s="25"/>
      <c r="H10" s="25"/>
      <c r="K10" s="28"/>
    </row>
    <row r="11" spans="1:11" s="14" customFormat="1" ht="15.5">
      <c r="A11" s="4"/>
      <c r="C11" s="25"/>
      <c r="D11" s="77" t="s">
        <v>18</v>
      </c>
      <c r="E11" s="36">
        <f>Voorblad!$E$23</f>
        <v>45017</v>
      </c>
      <c r="F11" s="26"/>
      <c r="G11" s="25"/>
      <c r="H11" s="25"/>
      <c r="K11" s="28"/>
    </row>
    <row r="12" spans="1:11" s="14" customFormat="1" ht="15.5">
      <c r="A12" s="4"/>
      <c r="B12" s="25"/>
      <c r="C12" s="25"/>
      <c r="D12" s="37"/>
      <c r="E12" s="25"/>
      <c r="F12" s="25"/>
      <c r="G12" s="25"/>
      <c r="H12" s="25"/>
      <c r="I12" s="25"/>
      <c r="J12" s="25"/>
      <c r="K12" s="28"/>
    </row>
    <row r="13" spans="1:11" s="14" customFormat="1" ht="15.5">
      <c r="A13" s="4"/>
      <c r="B13" s="25"/>
      <c r="C13" s="25"/>
      <c r="D13" s="104" t="s">
        <v>19</v>
      </c>
      <c r="E13" s="25"/>
      <c r="F13" s="25"/>
      <c r="G13" s="38"/>
      <c r="H13" s="38"/>
      <c r="I13" s="38"/>
      <c r="J13" s="39"/>
      <c r="K13" s="28"/>
    </row>
    <row r="14" spans="1:11"/>
    <row r="15" spans="1:11" s="5" customFormat="1" ht="62.15" customHeight="1">
      <c r="A15" s="4"/>
      <c r="B15" s="41"/>
      <c r="C15" s="41"/>
      <c r="D15" s="80" t="s">
        <v>20</v>
      </c>
      <c r="E15" s="81" t="s">
        <v>21</v>
      </c>
      <c r="F15" s="82" t="s">
        <v>22</v>
      </c>
      <c r="G15" s="82" t="s">
        <v>23</v>
      </c>
      <c r="H15" s="82" t="s">
        <v>24</v>
      </c>
      <c r="I15" s="82" t="s">
        <v>25</v>
      </c>
      <c r="J15" s="82" t="s">
        <v>26</v>
      </c>
      <c r="K15" s="42"/>
    </row>
    <row r="16" spans="1:11" s="5" customFormat="1">
      <c r="A16" s="4"/>
      <c r="B16" s="41"/>
      <c r="C16" s="41"/>
      <c r="D16" s="86"/>
      <c r="E16" s="84"/>
      <c r="F16" s="85"/>
      <c r="G16" s="85"/>
      <c r="H16" s="85"/>
      <c r="I16" s="85"/>
      <c r="J16" s="85"/>
      <c r="K16" s="42"/>
    </row>
    <row r="17" spans="1:256" s="5" customFormat="1">
      <c r="A17" s="4"/>
      <c r="B17" s="41"/>
      <c r="C17" s="41"/>
      <c r="D17" s="83"/>
      <c r="E17" s="84"/>
      <c r="F17" s="85"/>
      <c r="G17" s="85"/>
      <c r="H17" s="85"/>
      <c r="I17" s="85"/>
      <c r="J17" s="85"/>
      <c r="K17" s="42"/>
    </row>
    <row r="18" spans="1:256" ht="21" customHeight="1">
      <c r="C18" s="41"/>
      <c r="D18" s="94" t="s">
        <v>27</v>
      </c>
      <c r="E18" s="43"/>
      <c r="F18" s="43"/>
      <c r="G18" s="44"/>
      <c r="H18" s="44"/>
      <c r="I18" s="44"/>
      <c r="J18" s="44"/>
    </row>
    <row r="19" spans="1:256">
      <c r="A19" s="16"/>
      <c r="C19" s="41"/>
      <c r="D19" s="95"/>
      <c r="J19" s="45"/>
    </row>
    <row r="20" spans="1:256">
      <c r="B20" s="33" t="s">
        <v>28</v>
      </c>
      <c r="C20" s="41"/>
      <c r="D20" s="471" t="s">
        <v>29</v>
      </c>
      <c r="E20" s="468">
        <v>0.6</v>
      </c>
      <c r="F20" s="46">
        <f>H20/G20</f>
        <v>20.47091694652995</v>
      </c>
      <c r="G20" s="47">
        <v>200</v>
      </c>
      <c r="H20" s="48">
        <f>$H$25*E20</f>
        <v>4094.1833893059897</v>
      </c>
      <c r="I20" s="49">
        <f>HLOOKUP(D20,'1.5-Opbouw uurtarieven'!$M$16:$R$65,44,FALSE)</f>
        <v>26.466182905647525</v>
      </c>
      <c r="J20" s="50">
        <f>I20*H20</f>
        <v>108357.40643063623</v>
      </c>
    </row>
    <row r="21" spans="1:256">
      <c r="A21" s="16"/>
      <c r="C21" s="41"/>
      <c r="D21" s="95"/>
      <c r="E21" s="51"/>
      <c r="F21" s="52"/>
      <c r="H21" s="53"/>
      <c r="J21" s="45"/>
    </row>
    <row r="22" spans="1:256">
      <c r="C22" s="41"/>
      <c r="D22" s="471" t="s">
        <v>30</v>
      </c>
      <c r="E22" s="468">
        <v>0.4</v>
      </c>
      <c r="F22" s="46">
        <f>H22/G22</f>
        <v>13.6472779643533</v>
      </c>
      <c r="G22" s="47">
        <v>200</v>
      </c>
      <c r="H22" s="48">
        <f>$H$25*E22</f>
        <v>2729.45559287066</v>
      </c>
      <c r="I22" s="49">
        <f>HLOOKUP(D22,'1.5-Opbouw uurtarieven'!$M$16:$R$65,44,FALSE)</f>
        <v>28.516384596050258</v>
      </c>
      <c r="J22" s="50">
        <f>I22*H22</f>
        <v>77834.20542414012</v>
      </c>
    </row>
    <row r="23" spans="1:256">
      <c r="C23" s="41"/>
      <c r="D23" s="96"/>
      <c r="E23" s="54"/>
      <c r="F23" s="55"/>
      <c r="G23" s="22"/>
      <c r="H23" s="56"/>
      <c r="I23" s="22"/>
      <c r="J23" s="22"/>
      <c r="K23" s="57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>
      <c r="C24" s="41"/>
      <c r="D24" s="471" t="s">
        <v>31</v>
      </c>
      <c r="E24" s="468"/>
      <c r="F24" s="46">
        <f>H24/G24</f>
        <v>0</v>
      </c>
      <c r="G24" s="47">
        <v>200</v>
      </c>
      <c r="H24" s="48">
        <f>$H$25*E24</f>
        <v>0</v>
      </c>
      <c r="I24" s="49">
        <f>HLOOKUP(D24,'1.5-Opbouw uurtarieven'!$M$16:$R$65,44,FALSE)</f>
        <v>0</v>
      </c>
      <c r="J24" s="50">
        <f>I24*H24</f>
        <v>0</v>
      </c>
    </row>
    <row r="25" spans="1:256" ht="20.149999999999999" customHeight="1">
      <c r="C25" s="41"/>
      <c r="D25" s="97" t="str">
        <f>IF(E25&gt;100%,"Mag niet hoger zijn dan 100%","")</f>
        <v/>
      </c>
      <c r="E25" s="58">
        <f>SUM(E20:E24)</f>
        <v>1</v>
      </c>
      <c r="F25" s="91">
        <f>SUM(F20:F24)</f>
        <v>34.118194910883247</v>
      </c>
      <c r="G25" s="60"/>
      <c r="H25" s="92">
        <f>SUM('1.4-Basis ruimtestaat'!R:T)</f>
        <v>6823.6389821766497</v>
      </c>
      <c r="I25" s="60" t="s">
        <v>32</v>
      </c>
      <c r="J25" s="93">
        <f>SUM(J20:J24)</f>
        <v>186191.61185477633</v>
      </c>
      <c r="L25" s="17">
        <f>IF(H25=0,0,J25/H25)</f>
        <v>27.286263581808615</v>
      </c>
      <c r="N25" s="18">
        <f>IF(E25&gt;100,"Is hoger dan 100%",0)</f>
        <v>0</v>
      </c>
    </row>
    <row r="26" spans="1:256">
      <c r="C26" s="41"/>
      <c r="D26" s="98"/>
      <c r="E26" s="63"/>
      <c r="F26" s="59"/>
      <c r="G26" s="44"/>
      <c r="H26" s="61"/>
      <c r="I26" s="64"/>
      <c r="J26" s="62"/>
      <c r="L26" s="3"/>
    </row>
    <row r="27" spans="1:256">
      <c r="C27" s="41"/>
      <c r="D27" s="98"/>
      <c r="E27" s="63"/>
      <c r="F27" s="59"/>
      <c r="G27" s="44"/>
      <c r="H27" s="61"/>
      <c r="I27" s="64"/>
      <c r="J27" s="65"/>
      <c r="L27" s="3"/>
    </row>
    <row r="28" spans="1:256">
      <c r="C28" s="41"/>
      <c r="D28" s="98" t="s">
        <v>33</v>
      </c>
      <c r="F28" s="52"/>
      <c r="G28" s="44"/>
      <c r="H28" s="56"/>
      <c r="I28" s="44"/>
      <c r="J28" s="44"/>
      <c r="L28" s="2"/>
    </row>
    <row r="29" spans="1:256">
      <c r="C29" s="41"/>
      <c r="D29" s="95"/>
      <c r="F29" s="52"/>
      <c r="H29" s="53"/>
      <c r="J29" s="45"/>
      <c r="L29" s="3"/>
    </row>
    <row r="30" spans="1:256">
      <c r="B30" s="33" t="s">
        <v>28</v>
      </c>
      <c r="C30" s="41"/>
      <c r="D30" s="471" t="s">
        <v>34</v>
      </c>
      <c r="E30" s="468">
        <v>0.09</v>
      </c>
      <c r="F30" s="46">
        <f>H30/G30</f>
        <v>3.070637541979492</v>
      </c>
      <c r="G30" s="47">
        <v>200</v>
      </c>
      <c r="H30" s="48">
        <f>$H$25*E30</f>
        <v>614.12750839589842</v>
      </c>
      <c r="I30" s="49">
        <f>HLOOKUP(D30,'1.5-Opbouw uurtarieven'!$S$16:$V$65,44,FALSE)</f>
        <v>34.237882051102396</v>
      </c>
      <c r="J30" s="50">
        <f>I30*H30</f>
        <v>21026.425196796168</v>
      </c>
    </row>
    <row r="31" spans="1:256">
      <c r="C31" s="41"/>
      <c r="D31" s="99"/>
      <c r="E31" s="51"/>
      <c r="F31" s="46"/>
      <c r="G31" s="47"/>
      <c r="H31" s="48"/>
      <c r="I31" s="49"/>
      <c r="J31" s="66"/>
    </row>
    <row r="32" spans="1:256">
      <c r="C32" s="41"/>
      <c r="D32" s="471" t="s">
        <v>35</v>
      </c>
      <c r="E32" s="468">
        <v>0</v>
      </c>
      <c r="F32" s="46">
        <f>H32/G32</f>
        <v>0</v>
      </c>
      <c r="G32" s="47">
        <v>200</v>
      </c>
      <c r="H32" s="48">
        <f>$H$25*E32</f>
        <v>0</v>
      </c>
      <c r="I32" s="49">
        <f>HLOOKUP(D32,'1.5-Opbouw uurtarieven'!$S$16:$V$65,44,FALSE)</f>
        <v>0</v>
      </c>
      <c r="J32" s="50">
        <f>I32*H32</f>
        <v>0</v>
      </c>
    </row>
    <row r="33" spans="1:256">
      <c r="C33" s="41"/>
      <c r="D33" s="99"/>
      <c r="E33" s="51"/>
      <c r="F33" s="46"/>
      <c r="G33" s="47"/>
      <c r="H33" s="48"/>
      <c r="I33" s="49"/>
      <c r="J33" s="66"/>
    </row>
    <row r="34" spans="1:256">
      <c r="C34" s="41"/>
      <c r="D34" s="471" t="s">
        <v>35</v>
      </c>
      <c r="E34" s="468">
        <v>0</v>
      </c>
      <c r="F34" s="561">
        <f>H34/G34</f>
        <v>0</v>
      </c>
      <c r="G34" s="47">
        <v>200</v>
      </c>
      <c r="H34" s="562">
        <f>$H$25*E34</f>
        <v>0</v>
      </c>
      <c r="I34" s="49">
        <f>HLOOKUP(D34,'1.5-Opbouw uurtarieven'!$S$16:$V$65,44,FALSE)</f>
        <v>0</v>
      </c>
      <c r="J34" s="50">
        <f>I34*H34</f>
        <v>0</v>
      </c>
    </row>
    <row r="35" spans="1:256">
      <c r="C35" s="41"/>
      <c r="D35" s="99"/>
      <c r="E35" s="58">
        <f>SUM(E30:E34)</f>
        <v>0.09</v>
      </c>
      <c r="F35" s="59">
        <f>SUM(F30:F34)</f>
        <v>3.070637541979492</v>
      </c>
      <c r="G35" s="44"/>
      <c r="H35" s="61">
        <f>SUM(H30:H34)</f>
        <v>614.12750839589842</v>
      </c>
      <c r="I35" s="60" t="s">
        <v>36</v>
      </c>
      <c r="J35" s="62">
        <f>SUM(J28:J34)</f>
        <v>21026.425196796168</v>
      </c>
      <c r="K35" s="22"/>
      <c r="L35" s="17">
        <f>IF(H35=0,0,J35/H35)</f>
        <v>34.237882051102396</v>
      </c>
      <c r="N35" s="17">
        <f>J35+J25</f>
        <v>207218.03705157249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>
      <c r="C36" s="41"/>
      <c r="D36" s="98"/>
      <c r="E36" s="63"/>
      <c r="F36" s="67"/>
      <c r="G36" s="44"/>
      <c r="H36" s="67"/>
      <c r="I36" s="43"/>
      <c r="J36" s="68"/>
      <c r="L36" s="3"/>
    </row>
    <row r="37" spans="1:256">
      <c r="C37" s="41"/>
      <c r="D37" s="98"/>
      <c r="E37" s="63"/>
      <c r="F37" s="67"/>
      <c r="G37" s="44"/>
      <c r="H37" s="67"/>
      <c r="I37" s="67"/>
      <c r="J37" s="62"/>
      <c r="L37" s="17">
        <f>IF(H25=0,0,N35/H25)</f>
        <v>30.367672966407831</v>
      </c>
    </row>
    <row r="38" spans="1:256">
      <c r="C38" s="41"/>
      <c r="D38" s="98"/>
      <c r="E38" s="63"/>
      <c r="F38" s="67"/>
      <c r="G38" s="44"/>
      <c r="H38" s="67"/>
      <c r="I38" s="67"/>
      <c r="J38" s="62"/>
      <c r="L38" s="3"/>
    </row>
    <row r="39" spans="1:256">
      <c r="C39" s="41"/>
      <c r="D39" s="98"/>
      <c r="E39" s="63"/>
      <c r="F39" s="67"/>
      <c r="G39" s="44"/>
      <c r="H39" s="67"/>
      <c r="I39" s="60" t="s">
        <v>37</v>
      </c>
      <c r="J39" s="62">
        <f>J35+J25</f>
        <v>207218.03705157249</v>
      </c>
      <c r="L39" s="3"/>
    </row>
    <row r="40" spans="1:256">
      <c r="C40" s="41"/>
      <c r="D40" s="96"/>
      <c r="E40" s="54"/>
      <c r="F40" s="55"/>
      <c r="G40" s="22"/>
      <c r="H40" s="56"/>
      <c r="I40" s="22"/>
      <c r="J40" s="22"/>
      <c r="K40" s="5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>
      <c r="C41" s="41"/>
      <c r="D41" s="98"/>
      <c r="E41" s="69"/>
      <c r="F41" s="67"/>
      <c r="G41" s="44"/>
      <c r="H41" s="44"/>
      <c r="I41" s="67"/>
      <c r="J41" s="64"/>
      <c r="L41" s="3"/>
    </row>
    <row r="42" spans="1:256" ht="15.5">
      <c r="C42" s="41"/>
      <c r="D42" s="105"/>
      <c r="E42" s="69"/>
      <c r="F42" s="67"/>
      <c r="G42" s="44"/>
      <c r="H42" s="67"/>
      <c r="I42" s="43"/>
      <c r="J42" s="62"/>
      <c r="L42" s="3">
        <f>J42/H25</f>
        <v>0</v>
      </c>
    </row>
    <row r="43" spans="1:256">
      <c r="C43" s="41"/>
      <c r="D43" s="98"/>
      <c r="E43" s="69"/>
      <c r="F43" s="67"/>
      <c r="G43" s="44"/>
      <c r="H43" s="67"/>
      <c r="I43" s="43"/>
      <c r="J43" s="68"/>
    </row>
    <row r="44" spans="1:256">
      <c r="C44" s="41"/>
      <c r="D44" s="98"/>
      <c r="E44" s="69"/>
      <c r="F44" s="67"/>
      <c r="G44" s="44"/>
      <c r="I44" s="110" t="s">
        <v>38</v>
      </c>
      <c r="J44" s="62">
        <f>J39+J42</f>
        <v>207218.03705157249</v>
      </c>
      <c r="L44" s="19"/>
    </row>
    <row r="45" spans="1:256">
      <c r="C45" s="41"/>
      <c r="D45" s="98"/>
      <c r="E45" s="69"/>
      <c r="F45" s="67"/>
      <c r="G45" s="44"/>
      <c r="H45" s="67"/>
      <c r="I45" s="43"/>
      <c r="J45" s="68"/>
    </row>
    <row r="46" spans="1:256" s="14" customFormat="1" ht="15.5">
      <c r="A46" s="4"/>
      <c r="B46" s="25"/>
      <c r="C46" s="41"/>
      <c r="D46" s="104" t="s">
        <v>39</v>
      </c>
      <c r="E46" s="38"/>
      <c r="F46" s="38"/>
      <c r="G46" s="38"/>
      <c r="H46" s="38"/>
      <c r="I46" s="38"/>
      <c r="J46" s="39"/>
      <c r="K46" s="28"/>
    </row>
    <row r="47" spans="1:256">
      <c r="C47" s="41"/>
      <c r="D47" s="98"/>
      <c r="E47" s="43"/>
      <c r="F47" s="70"/>
      <c r="G47" s="71"/>
      <c r="H47" s="70"/>
      <c r="I47" s="43"/>
      <c r="J47" s="43"/>
    </row>
    <row r="48" spans="1:256">
      <c r="C48" s="41"/>
      <c r="D48" s="98"/>
      <c r="E48" s="43"/>
      <c r="G48" s="71"/>
      <c r="H48" s="70" t="s">
        <v>40</v>
      </c>
      <c r="I48" s="70" t="s">
        <v>41</v>
      </c>
      <c r="J48" s="43"/>
      <c r="L48" s="3"/>
    </row>
    <row r="49" spans="1:15">
      <c r="A49" s="20" t="s">
        <v>42</v>
      </c>
      <c r="C49" s="41"/>
      <c r="D49" s="99" t="s">
        <v>43</v>
      </c>
      <c r="E49" s="43"/>
      <c r="G49" s="72"/>
      <c r="H49" s="469"/>
      <c r="I49" s="470"/>
      <c r="J49" s="66">
        <f>I49*H49</f>
        <v>0</v>
      </c>
      <c r="L49" s="3"/>
    </row>
    <row r="50" spans="1:15">
      <c r="A50" s="20" t="s">
        <v>44</v>
      </c>
      <c r="C50" s="41"/>
      <c r="D50" s="96" t="s">
        <v>45</v>
      </c>
      <c r="E50" s="43"/>
      <c r="G50" s="72"/>
      <c r="H50" s="469"/>
      <c r="I50" s="470"/>
      <c r="J50" s="66">
        <f>I50*H50</f>
        <v>0</v>
      </c>
      <c r="L50" s="19"/>
    </row>
    <row r="51" spans="1:15">
      <c r="A51" s="20" t="s">
        <v>46</v>
      </c>
      <c r="C51" s="41"/>
      <c r="D51" s="96" t="s">
        <v>47</v>
      </c>
      <c r="E51" s="43"/>
      <c r="G51" s="72"/>
      <c r="H51" s="469"/>
      <c r="I51" s="470"/>
      <c r="J51" s="66">
        <f>I51*H51</f>
        <v>0</v>
      </c>
      <c r="L51" s="17"/>
      <c r="M51" s="2"/>
      <c r="N51" s="3"/>
      <c r="O51" s="2"/>
    </row>
    <row r="52" spans="1:15">
      <c r="A52" s="20" t="s">
        <v>48</v>
      </c>
      <c r="C52" s="41"/>
      <c r="D52" s="96" t="s">
        <v>49</v>
      </c>
      <c r="E52" s="43"/>
      <c r="G52" s="72"/>
      <c r="H52" s="469"/>
      <c r="I52" s="470"/>
      <c r="J52" s="66">
        <f>I52*H52</f>
        <v>0</v>
      </c>
      <c r="L52" s="17">
        <f>IF(H25=0,0,J44/H25)</f>
        <v>30.367672966407831</v>
      </c>
      <c r="M52" s="2"/>
      <c r="N52" s="3"/>
      <c r="O52" s="2"/>
    </row>
    <row r="53" spans="1:15">
      <c r="A53" s="20"/>
      <c r="C53" s="41"/>
      <c r="D53" s="96"/>
      <c r="E53" s="43"/>
      <c r="G53" s="72"/>
      <c r="H53" s="72"/>
      <c r="I53" s="72"/>
      <c r="J53" s="72"/>
      <c r="L53" s="17"/>
      <c r="M53" s="2"/>
      <c r="N53" s="3"/>
      <c r="O53" s="2"/>
    </row>
    <row r="54" spans="1:15">
      <c r="A54" s="20"/>
      <c r="C54" s="41"/>
      <c r="D54" s="96"/>
      <c r="E54" s="43"/>
      <c r="G54" s="72"/>
      <c r="H54" s="72"/>
      <c r="I54" s="72"/>
      <c r="J54" s="72"/>
      <c r="L54" s="17"/>
      <c r="M54" s="2"/>
      <c r="N54" s="3"/>
      <c r="O54" s="2"/>
    </row>
    <row r="55" spans="1:15">
      <c r="C55" s="41"/>
      <c r="D55" s="100"/>
      <c r="E55" s="43"/>
      <c r="F55" s="43"/>
      <c r="G55" s="43"/>
      <c r="H55" s="43"/>
      <c r="I55" s="43"/>
      <c r="J55" s="43"/>
    </row>
    <row r="56" spans="1:15" ht="17.149999999999999" customHeight="1">
      <c r="C56" s="41"/>
      <c r="D56" s="101"/>
      <c r="G56" s="106" t="s">
        <v>50</v>
      </c>
      <c r="H56" s="107"/>
      <c r="I56" s="108"/>
      <c r="J56" s="109">
        <f>SUM(J44:J55)</f>
        <v>207218.03705157249</v>
      </c>
      <c r="M56" s="2"/>
      <c r="O56" s="3"/>
    </row>
    <row r="57" spans="1:15" ht="17.149999999999999" customHeight="1">
      <c r="C57" s="41"/>
      <c r="D57" s="102"/>
      <c r="G57" s="40" t="s">
        <v>51</v>
      </c>
      <c r="I57" s="73">
        <v>0.21</v>
      </c>
      <c r="J57" s="563">
        <f>I57*J56</f>
        <v>43515.787780830222</v>
      </c>
    </row>
    <row r="58" spans="1:15" ht="17.149999999999999" customHeight="1">
      <c r="C58" s="41"/>
      <c r="D58" s="102"/>
      <c r="G58" s="40" t="s">
        <v>52</v>
      </c>
      <c r="J58" s="66">
        <f>J57+J56</f>
        <v>250733.82483240272</v>
      </c>
      <c r="M58" s="2"/>
      <c r="N58" s="3"/>
      <c r="O58" s="3"/>
    </row>
    <row r="59" spans="1:15">
      <c r="C59" s="41"/>
      <c r="D59" s="100"/>
      <c r="E59" s="43"/>
      <c r="F59" s="43"/>
      <c r="G59" s="43"/>
      <c r="H59" s="43"/>
      <c r="I59" s="43"/>
      <c r="J59" s="66"/>
    </row>
    <row r="60" spans="1:15">
      <c r="C60" s="41"/>
      <c r="D60" s="102"/>
    </row>
    <row r="61" spans="1:15" ht="15.5">
      <c r="C61" s="41"/>
      <c r="D61" s="104" t="s">
        <v>53</v>
      </c>
    </row>
    <row r="62" spans="1:15">
      <c r="C62" s="41"/>
      <c r="D62" s="102"/>
    </row>
    <row r="63" spans="1:15" s="5" customFormat="1" ht="62.15" customHeight="1">
      <c r="A63" s="4"/>
      <c r="B63" s="41"/>
      <c r="C63" s="41"/>
      <c r="D63" s="80"/>
      <c r="E63" s="80"/>
      <c r="F63" s="81" t="s">
        <v>54</v>
      </c>
      <c r="G63" s="82" t="s">
        <v>55</v>
      </c>
      <c r="H63" s="82" t="s">
        <v>56</v>
      </c>
      <c r="I63" s="82"/>
      <c r="J63" s="82" t="s">
        <v>26</v>
      </c>
      <c r="K63" s="42"/>
    </row>
    <row r="64" spans="1:15" s="5" customFormat="1">
      <c r="A64" s="4"/>
      <c r="B64" s="41"/>
      <c r="C64" s="41"/>
      <c r="D64" s="86"/>
      <c r="E64" s="84"/>
      <c r="F64" s="85"/>
      <c r="G64" s="85"/>
      <c r="H64" s="85"/>
      <c r="I64" s="85"/>
      <c r="J64" s="85"/>
      <c r="K64" s="42"/>
    </row>
    <row r="65" spans="3:11">
      <c r="C65" s="41"/>
      <c r="D65" s="102"/>
    </row>
    <row r="66" spans="3:11">
      <c r="C66" s="41"/>
      <c r="D66" s="102"/>
      <c r="F66" s="74"/>
      <c r="J66" s="75"/>
    </row>
    <row r="67" spans="3:11">
      <c r="C67" s="41"/>
      <c r="D67" s="102"/>
      <c r="G67" s="74"/>
      <c r="J67" s="75"/>
    </row>
    <row r="68" spans="3:11">
      <c r="C68" s="41"/>
      <c r="D68" s="102"/>
      <c r="H68" s="74"/>
      <c r="J68" s="75"/>
    </row>
    <row r="69" spans="3:11">
      <c r="C69" s="41"/>
      <c r="D69" s="102"/>
    </row>
    <row r="70" spans="3:11">
      <c r="C70" s="41"/>
      <c r="D70" s="102"/>
      <c r="E70" s="1"/>
      <c r="G70" s="23" t="s">
        <v>57</v>
      </c>
      <c r="J70" s="75"/>
    </row>
    <row r="71" spans="3:11">
      <c r="C71" s="41"/>
      <c r="D71" s="102"/>
      <c r="H71" s="74"/>
      <c r="J71" s="1"/>
    </row>
    <row r="72" spans="3:11">
      <c r="C72" s="41"/>
      <c r="D72" s="102"/>
    </row>
    <row r="73" spans="3:11">
      <c r="C73" s="41"/>
      <c r="D73" s="102"/>
    </row>
    <row r="74" spans="3:11">
      <c r="C74" s="41"/>
      <c r="D74" s="102"/>
      <c r="G74" s="106" t="s">
        <v>50</v>
      </c>
      <c r="H74" s="107"/>
      <c r="I74" s="108"/>
      <c r="J74" s="109">
        <f>SUM(J66:J73)</f>
        <v>0</v>
      </c>
    </row>
    <row r="75" spans="3:11">
      <c r="C75" s="41"/>
      <c r="D75" s="102"/>
      <c r="G75" s="40" t="s">
        <v>51</v>
      </c>
      <c r="I75" s="73">
        <v>0.21</v>
      </c>
      <c r="J75" s="563">
        <f>I75*J74</f>
        <v>0</v>
      </c>
    </row>
    <row r="76" spans="3:11">
      <c r="C76" s="41"/>
      <c r="D76" s="102"/>
      <c r="G76" s="40" t="s">
        <v>52</v>
      </c>
      <c r="J76" s="66">
        <f>J75+J74</f>
        <v>0</v>
      </c>
    </row>
    <row r="77" spans="3:11">
      <c r="C77" s="41"/>
      <c r="D77" s="102"/>
    </row>
    <row r="78" spans="3:11">
      <c r="C78" s="41"/>
      <c r="D78" s="95"/>
    </row>
    <row r="79" spans="3:11" ht="14" thickBot="1">
      <c r="C79" s="41"/>
      <c r="D79" s="1"/>
    </row>
    <row r="80" spans="3:11">
      <c r="C80" s="41"/>
      <c r="D80" s="177"/>
      <c r="E80" s="90"/>
      <c r="F80" s="90"/>
      <c r="G80" s="90"/>
      <c r="H80" s="90"/>
      <c r="I80" s="90"/>
      <c r="J80" s="90"/>
      <c r="K80" s="178"/>
    </row>
    <row r="81" spans="3:6">
      <c r="C81" s="41"/>
      <c r="D81" s="102"/>
    </row>
    <row r="82" spans="3:6" ht="14" thickBot="1">
      <c r="C82" s="41"/>
      <c r="D82" s="102"/>
    </row>
    <row r="83" spans="3:6" ht="20.149999999999999" customHeight="1" thickBot="1">
      <c r="C83" s="41"/>
      <c r="D83" s="103" t="s">
        <v>58</v>
      </c>
      <c r="E83" s="103"/>
      <c r="F83" s="76">
        <f>IF(J39=0,0,J39/H25)</f>
        <v>30.367672966407831</v>
      </c>
    </row>
    <row r="84" spans="3:6">
      <c r="C84" s="41"/>
      <c r="D84" s="102"/>
    </row>
    <row r="85" spans="3:6">
      <c r="C85" s="41"/>
      <c r="D85" s="102"/>
    </row>
    <row r="86" spans="3:6">
      <c r="C86" s="41"/>
      <c r="D86" s="102"/>
    </row>
    <row r="87" spans="3:6">
      <c r="C87" s="41"/>
      <c r="D87" s="102"/>
    </row>
    <row r="88" spans="3:6">
      <c r="C88" s="41"/>
      <c r="D88" s="1"/>
    </row>
    <row r="89" spans="3:6">
      <c r="C89" s="41"/>
      <c r="D89" s="102"/>
    </row>
    <row r="90" spans="3:6">
      <c r="C90" s="41"/>
      <c r="D90" s="102"/>
    </row>
    <row r="91" spans="3:6">
      <c r="C91" s="41"/>
      <c r="D91" s="102"/>
    </row>
    <row r="92" spans="3:6">
      <c r="C92" s="41"/>
      <c r="D92" s="102"/>
    </row>
    <row r="93" spans="3:6">
      <c r="C93" s="41"/>
    </row>
    <row r="94" spans="3:6">
      <c r="C94" s="41"/>
    </row>
    <row r="95" spans="3:6">
      <c r="C95" s="41"/>
    </row>
    <row r="96" spans="3:6">
      <c r="C96" s="41"/>
    </row>
    <row r="97" spans="3:3">
      <c r="C97" s="41"/>
    </row>
    <row r="98" spans="3:3">
      <c r="C98" s="41"/>
    </row>
    <row r="99" spans="3:3">
      <c r="C99" s="41"/>
    </row>
    <row r="100" spans="3:3">
      <c r="C100" s="41"/>
    </row>
    <row r="101" spans="3:3">
      <c r="C101" s="41"/>
    </row>
    <row r="102" spans="3:3">
      <c r="C102" s="41"/>
    </row>
    <row r="103" spans="3:3">
      <c r="C103" s="41"/>
    </row>
    <row r="104" spans="3:3">
      <c r="C104" s="41"/>
    </row>
    <row r="105" spans="3:3">
      <c r="C105" s="41"/>
    </row>
    <row r="106" spans="3:3">
      <c r="C106" s="41"/>
    </row>
    <row r="107" spans="3:3">
      <c r="C107" s="41"/>
    </row>
    <row r="108" spans="3:3">
      <c r="C108" s="41"/>
    </row>
    <row r="109" spans="3:3">
      <c r="C109" s="41"/>
    </row>
    <row r="110" spans="3:3">
      <c r="C110" s="41"/>
    </row>
    <row r="111" spans="3:3">
      <c r="C111" s="41"/>
    </row>
    <row r="112" spans="3:3">
      <c r="C112" s="41"/>
    </row>
    <row r="113" spans="3:3">
      <c r="C113" s="41"/>
    </row>
    <row r="114" spans="3:3">
      <c r="C114" s="41"/>
    </row>
    <row r="115" spans="3:3">
      <c r="C115" s="41"/>
    </row>
    <row r="116" spans="3:3">
      <c r="C116" s="41"/>
    </row>
    <row r="117" spans="3:3">
      <c r="C117" s="41"/>
    </row>
    <row r="118" spans="3:3">
      <c r="C118" s="41"/>
    </row>
    <row r="119" spans="3:3">
      <c r="C119" s="41"/>
    </row>
    <row r="120" spans="3:3">
      <c r="C120" s="41"/>
    </row>
    <row r="121" spans="3:3">
      <c r="C121" s="41"/>
    </row>
    <row r="122" spans="3:3">
      <c r="C122" s="41"/>
    </row>
    <row r="123" spans="3:3">
      <c r="C123" s="41"/>
    </row>
    <row r="124" spans="3:3">
      <c r="C124" s="41"/>
    </row>
    <row r="125" spans="3:3">
      <c r="C125" s="41"/>
    </row>
    <row r="126" spans="3:3">
      <c r="C126" s="41"/>
    </row>
    <row r="127" spans="3:3">
      <c r="C127" s="41"/>
    </row>
    <row r="128" spans="3:3">
      <c r="C128" s="41"/>
    </row>
    <row r="129" spans="3:3">
      <c r="C129" s="41"/>
    </row>
    <row r="130" spans="3:3">
      <c r="C130" s="41"/>
    </row>
    <row r="131" spans="3:3">
      <c r="C131" s="41"/>
    </row>
    <row r="132" spans="3:3">
      <c r="C132" s="41"/>
    </row>
    <row r="133" spans="3:3">
      <c r="C133" s="41"/>
    </row>
    <row r="134" spans="3:3">
      <c r="C134" s="41"/>
    </row>
    <row r="135" spans="3:3">
      <c r="C135" s="41"/>
    </row>
    <row r="136" spans="3:3">
      <c r="C136" s="41"/>
    </row>
    <row r="137" spans="3:3">
      <c r="C137" s="41"/>
    </row>
    <row r="138" spans="3:3">
      <c r="C138" s="41"/>
    </row>
    <row r="139" spans="3:3">
      <c r="C139" s="41"/>
    </row>
    <row r="140" spans="3:3">
      <c r="C140" s="41"/>
    </row>
    <row r="141" spans="3:3">
      <c r="C141" s="41"/>
    </row>
    <row r="142" spans="3:3">
      <c r="C142" s="41"/>
    </row>
    <row r="143" spans="3:3">
      <c r="C143" s="41"/>
    </row>
    <row r="144" spans="3:3">
      <c r="C144" s="41"/>
    </row>
    <row r="145" spans="3:3">
      <c r="C145" s="41"/>
    </row>
    <row r="146" spans="3:3">
      <c r="C146" s="41"/>
    </row>
    <row r="147" spans="3:3">
      <c r="C147" s="41"/>
    </row>
    <row r="148" spans="3:3">
      <c r="C148" s="41"/>
    </row>
    <row r="149" spans="3:3">
      <c r="C149" s="41"/>
    </row>
    <row r="150" spans="3:3">
      <c r="C150" s="41"/>
    </row>
    <row r="151" spans="3:3">
      <c r="C151" s="41"/>
    </row>
    <row r="152" spans="3:3">
      <c r="C152" s="41"/>
    </row>
    <row r="153" spans="3:3">
      <c r="C153" s="41"/>
    </row>
    <row r="154" spans="3:3">
      <c r="C154" s="41"/>
    </row>
    <row r="155" spans="3:3">
      <c r="C155" s="41"/>
    </row>
    <row r="156" spans="3:3">
      <c r="C156" s="41"/>
    </row>
    <row r="157" spans="3:3">
      <c r="C157" s="41"/>
    </row>
    <row r="158" spans="3:3">
      <c r="C158" s="41"/>
    </row>
    <row r="159" spans="3:3">
      <c r="C159" s="41"/>
    </row>
    <row r="160" spans="3:3">
      <c r="C160" s="41"/>
    </row>
    <row r="161" spans="3:3">
      <c r="C161" s="41"/>
    </row>
    <row r="162" spans="3:3">
      <c r="C162" s="41"/>
    </row>
    <row r="163" spans="3:3">
      <c r="C163" s="41"/>
    </row>
    <row r="164" spans="3:3">
      <c r="C164" s="41"/>
    </row>
    <row r="165" spans="3:3">
      <c r="C165" s="41"/>
    </row>
    <row r="166" spans="3:3">
      <c r="C166" s="41"/>
    </row>
    <row r="167" spans="3:3">
      <c r="C167" s="41"/>
    </row>
    <row r="168" spans="3:3">
      <c r="C168" s="41"/>
    </row>
    <row r="169" spans="3:3">
      <c r="C169" s="41"/>
    </row>
    <row r="170" spans="3:3">
      <c r="C170" s="41"/>
    </row>
    <row r="171" spans="3:3">
      <c r="C171" s="41"/>
    </row>
    <row r="172" spans="3:3">
      <c r="C172" s="41"/>
    </row>
    <row r="173" spans="3:3">
      <c r="C173" s="41"/>
    </row>
    <row r="174" spans="3:3">
      <c r="C174" s="41"/>
    </row>
    <row r="175" spans="3:3">
      <c r="C175" s="41"/>
    </row>
    <row r="176" spans="3:3">
      <c r="C176" s="41"/>
    </row>
    <row r="177" spans="3:3">
      <c r="C177" s="41"/>
    </row>
    <row r="178" spans="3:3">
      <c r="C178" s="41"/>
    </row>
    <row r="179" spans="3:3">
      <c r="C179" s="41"/>
    </row>
    <row r="180" spans="3:3">
      <c r="C180" s="41"/>
    </row>
    <row r="181" spans="3:3">
      <c r="C181" s="41"/>
    </row>
    <row r="182" spans="3:3">
      <c r="C182" s="41"/>
    </row>
    <row r="183" spans="3:3">
      <c r="C183" s="41"/>
    </row>
    <row r="184" spans="3:3">
      <c r="C184" s="41"/>
    </row>
    <row r="185" spans="3:3">
      <c r="C185" s="41"/>
    </row>
    <row r="186" spans="3:3">
      <c r="C186" s="41"/>
    </row>
    <row r="187" spans="3:3">
      <c r="C187" s="41"/>
    </row>
    <row r="188" spans="3:3">
      <c r="C188" s="41"/>
    </row>
    <row r="189" spans="3:3">
      <c r="C189" s="41"/>
    </row>
    <row r="190" spans="3:3">
      <c r="C190" s="41"/>
    </row>
    <row r="191" spans="3:3">
      <c r="C191" s="41"/>
    </row>
    <row r="192" spans="3:3">
      <c r="C192" s="41"/>
    </row>
    <row r="193" spans="3:3">
      <c r="C193" s="41"/>
    </row>
    <row r="194" spans="3:3">
      <c r="C194" s="41"/>
    </row>
    <row r="195" spans="3:3">
      <c r="C195" s="41"/>
    </row>
    <row r="196" spans="3:3">
      <c r="C196" s="41"/>
    </row>
    <row r="197" spans="3:3">
      <c r="C197" s="41"/>
    </row>
    <row r="198" spans="3:3">
      <c r="C198" s="41"/>
    </row>
    <row r="199" spans="3:3">
      <c r="C199" s="41"/>
    </row>
    <row r="200" spans="3:3">
      <c r="C200" s="41"/>
    </row>
    <row r="201" spans="3:3">
      <c r="C201" s="41"/>
    </row>
    <row r="202" spans="3:3">
      <c r="C202" s="41"/>
    </row>
    <row r="203" spans="3:3">
      <c r="C203" s="41"/>
    </row>
    <row r="204" spans="3:3">
      <c r="C204" s="41"/>
    </row>
    <row r="205" spans="3:3">
      <c r="C205" s="41"/>
    </row>
    <row r="206" spans="3:3">
      <c r="C206" s="41"/>
    </row>
    <row r="207" spans="3:3">
      <c r="C207" s="41"/>
    </row>
    <row r="208" spans="3:3">
      <c r="C208" s="41"/>
    </row>
    <row r="209" spans="3:3">
      <c r="C209" s="41"/>
    </row>
    <row r="210" spans="3:3">
      <c r="C210" s="41"/>
    </row>
    <row r="211" spans="3:3">
      <c r="C211" s="41"/>
    </row>
    <row r="212" spans="3:3">
      <c r="C212" s="41"/>
    </row>
    <row r="213" spans="3:3">
      <c r="C213" s="41"/>
    </row>
    <row r="214" spans="3:3">
      <c r="C214" s="41"/>
    </row>
    <row r="215" spans="3:3">
      <c r="C215" s="41"/>
    </row>
    <row r="216" spans="3:3">
      <c r="C216" s="41"/>
    </row>
    <row r="217" spans="3:3">
      <c r="C217" s="41"/>
    </row>
    <row r="218" spans="3:3">
      <c r="C218" s="41"/>
    </row>
    <row r="219" spans="3:3">
      <c r="C219" s="41"/>
    </row>
    <row r="220" spans="3:3">
      <c r="C220" s="41"/>
    </row>
    <row r="221" spans="3:3">
      <c r="C221" s="41"/>
    </row>
    <row r="222" spans="3:3">
      <c r="C222" s="41"/>
    </row>
    <row r="223" spans="3:3">
      <c r="C223" s="41"/>
    </row>
    <row r="224" spans="3:3">
      <c r="C224" s="41"/>
    </row>
    <row r="225" spans="3:3">
      <c r="C225" s="41"/>
    </row>
    <row r="226" spans="3:3">
      <c r="C226" s="41"/>
    </row>
    <row r="227" spans="3:3">
      <c r="C227" s="41"/>
    </row>
    <row r="228" spans="3:3">
      <c r="C228" s="41"/>
    </row>
    <row r="229" spans="3:3">
      <c r="C229" s="41"/>
    </row>
    <row r="230" spans="3:3">
      <c r="C230" s="41"/>
    </row>
    <row r="231" spans="3:3">
      <c r="C231" s="41"/>
    </row>
    <row r="232" spans="3:3">
      <c r="C232" s="41"/>
    </row>
    <row r="233" spans="3:3">
      <c r="C233" s="41"/>
    </row>
    <row r="234" spans="3:3">
      <c r="C234" s="41"/>
    </row>
    <row r="235" spans="3:3">
      <c r="C235" s="41"/>
    </row>
    <row r="236" spans="3:3">
      <c r="C236" s="41"/>
    </row>
    <row r="237" spans="3:3">
      <c r="C237" s="41"/>
    </row>
    <row r="238" spans="3:3">
      <c r="C238" s="41"/>
    </row>
    <row r="239" spans="3:3">
      <c r="C239" s="41"/>
    </row>
    <row r="240" spans="3:3">
      <c r="C240" s="41"/>
    </row>
    <row r="241" spans="3:3">
      <c r="C241" s="41"/>
    </row>
    <row r="242" spans="3:3">
      <c r="C242" s="41"/>
    </row>
    <row r="243" spans="3:3">
      <c r="C243" s="41"/>
    </row>
    <row r="244" spans="3:3">
      <c r="C244" s="41"/>
    </row>
    <row r="245" spans="3:3">
      <c r="C245" s="41"/>
    </row>
    <row r="246" spans="3:3">
      <c r="C246" s="41"/>
    </row>
    <row r="247" spans="3:3">
      <c r="C247" s="41"/>
    </row>
    <row r="248" spans="3:3">
      <c r="C248" s="41"/>
    </row>
    <row r="249" spans="3:3">
      <c r="C249" s="41"/>
    </row>
    <row r="250" spans="3:3">
      <c r="C250" s="41"/>
    </row>
    <row r="251" spans="3:3">
      <c r="C251" s="41"/>
    </row>
    <row r="252" spans="3:3">
      <c r="C252" s="41"/>
    </row>
    <row r="253" spans="3:3"/>
    <row r="254" spans="3:3"/>
    <row r="255" spans="3:3"/>
    <row r="256" spans="3:3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</sheetData>
  <sheetProtection algorithmName="SHA-512" hashValue="N0rtbXcUycimVBcs9f59XWNFRgMSjKTiM5ZVr+02/NFAnxOKuZrqbF58RMClmOaSybOIBzaXktqOQCiQFPJL8Q==" saltValue="ZBpxvGKvc+si8KmaSf1JNw==" spinCount="100000" sheet="1" objects="1" scenarios="1"/>
  <phoneticPr fontId="8"/>
  <conditionalFormatting sqref="B20">
    <cfRule type="cellIs" dxfId="29" priority="86" operator="greaterThan">
      <formula>0</formula>
    </cfRule>
  </conditionalFormatting>
  <conditionalFormatting sqref="B30">
    <cfRule type="cellIs" dxfId="28" priority="74" operator="greaterThan">
      <formula>0</formula>
    </cfRule>
  </conditionalFormatting>
  <conditionalFormatting sqref="D56">
    <cfRule type="cellIs" dxfId="27" priority="36" operator="greaterThan">
      <formula>0</formula>
    </cfRule>
  </conditionalFormatting>
  <conditionalFormatting sqref="E20">
    <cfRule type="cellIs" dxfId="26" priority="139" operator="greaterThan">
      <formula>0</formula>
    </cfRule>
  </conditionalFormatting>
  <conditionalFormatting sqref="E22">
    <cfRule type="cellIs" dxfId="25" priority="16" operator="greaterThan">
      <formula>0</formula>
    </cfRule>
  </conditionalFormatting>
  <conditionalFormatting sqref="E24">
    <cfRule type="cellIs" dxfId="24" priority="13" operator="greaterThan">
      <formula>0</formula>
    </cfRule>
  </conditionalFormatting>
  <conditionalFormatting sqref="E25:E27 E36:E39">
    <cfRule type="cellIs" dxfId="23" priority="221" stopIfTrue="1" operator="greaterThan">
      <formula>1</formula>
    </cfRule>
  </conditionalFormatting>
  <conditionalFormatting sqref="E30">
    <cfRule type="cellIs" dxfId="22" priority="131" operator="greaterThan">
      <formula>0</formula>
    </cfRule>
  </conditionalFormatting>
  <conditionalFormatting sqref="E32">
    <cfRule type="cellIs" dxfId="21" priority="10" operator="greaterThan">
      <formula>0</formula>
    </cfRule>
  </conditionalFormatting>
  <conditionalFormatting sqref="E34">
    <cfRule type="cellIs" dxfId="20" priority="1" operator="greaterThan">
      <formula>0</formula>
    </cfRule>
  </conditionalFormatting>
  <conditionalFormatting sqref="H49:I52">
    <cfRule type="cellIs" dxfId="19" priority="23" operator="greaterThan">
      <formula>0</formula>
    </cfRule>
  </conditionalFormatting>
  <conditionalFormatting sqref="J20">
    <cfRule type="cellIs" dxfId="18" priority="138" operator="greaterThan">
      <formula>0</formula>
    </cfRule>
  </conditionalFormatting>
  <conditionalFormatting sqref="J22">
    <cfRule type="cellIs" dxfId="17" priority="6" operator="greaterThan">
      <formula>0</formula>
    </cfRule>
  </conditionalFormatting>
  <conditionalFormatting sqref="J24:J27">
    <cfRule type="cellIs" dxfId="16" priority="5" operator="greaterThan">
      <formula>0</formula>
    </cfRule>
  </conditionalFormatting>
  <conditionalFormatting sqref="J30">
    <cfRule type="cellIs" dxfId="15" priority="130" operator="greaterThan">
      <formula>0</formula>
    </cfRule>
  </conditionalFormatting>
  <conditionalFormatting sqref="J32">
    <cfRule type="cellIs" dxfId="14" priority="9" operator="greaterThan">
      <formula>0</formula>
    </cfRule>
  </conditionalFormatting>
  <conditionalFormatting sqref="J34:J35">
    <cfRule type="cellIs" dxfId="13" priority="126" operator="greaterThan">
      <formula>0</formula>
    </cfRule>
  </conditionalFormatting>
  <conditionalFormatting sqref="J37:J39">
    <cfRule type="cellIs" dxfId="12" priority="25" operator="greaterThan">
      <formula>0</formula>
    </cfRule>
  </conditionalFormatting>
  <conditionalFormatting sqref="J42:J74">
    <cfRule type="cellIs" dxfId="11" priority="7" operator="greaterThan">
      <formula>0</formula>
    </cfRule>
  </conditionalFormatting>
  <dataValidations xWindow="213" yWindow="580" count="3"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30 B20" xr:uid="{00000000-0002-0000-0200-000001000000}"/>
    <dataValidation type="list" allowBlank="1" showInputMessage="1" showErrorMessage="1" sqref="D20 D22 D24" xr:uid="{3F7F4EDC-1284-FC43-9FE1-F1EF5578FC7B}">
      <formula1>tariefSMO</formula1>
    </dataValidation>
    <dataValidation type="list" allowBlank="1" showInputMessage="1" showErrorMessage="1" sqref="D34 D32 D30" xr:uid="{49307662-B4F3-AF47-9BC2-8FD31A467F51}">
      <formula1>tariefTZ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60" orientation="portrait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U712"/>
  <sheetViews>
    <sheetView showGridLines="0" showRowColHeaders="0" showZeros="0" showOutlineSymbols="0" zoomScale="55" zoomScaleNormal="55" zoomScaleSheetLayoutView="94" workbookViewId="0">
      <selection activeCell="F97" sqref="F97"/>
    </sheetView>
  </sheetViews>
  <sheetFormatPr defaultColWidth="22.1796875" defaultRowHeight="12.5" zeroHeight="1"/>
  <cols>
    <col min="1" max="1" width="8.1796875" style="34" customWidth="1"/>
    <col min="2" max="2" width="37.1796875" style="34" customWidth="1"/>
    <col min="3" max="3" width="30.453125" style="34" customWidth="1"/>
    <col min="4" max="4" width="23.54296875" style="34" customWidth="1"/>
    <col min="5" max="5" width="22.1796875" style="34" customWidth="1"/>
    <col min="6" max="6" width="22.81640625" style="34" customWidth="1"/>
    <col min="7" max="7" width="23.1796875" style="34" customWidth="1"/>
    <col min="8" max="9" width="23.54296875" style="34" customWidth="1"/>
    <col min="10" max="10" width="23.453125" style="34" customWidth="1"/>
    <col min="11" max="11" width="20" style="34" customWidth="1"/>
    <col min="12" max="12" width="19.1796875" style="34" customWidth="1"/>
    <col min="13" max="13" width="30.1796875" style="34" customWidth="1"/>
    <col min="14" max="14" width="4.54296875" style="34" customWidth="1"/>
    <col min="15" max="15" width="10.453125" style="34" bestFit="1" customWidth="1"/>
    <col min="16" max="16" width="8.54296875" style="111" hidden="1" customWidth="1"/>
    <col min="17" max="17" width="15.54296875" style="34" hidden="1" customWidth="1"/>
    <col min="18" max="18" width="8.81640625" style="34" hidden="1" customWidth="1"/>
    <col min="19" max="19" width="11" style="34" hidden="1" customWidth="1"/>
    <col min="20" max="20" width="18" style="34" hidden="1" customWidth="1"/>
    <col min="21" max="21" width="9" style="34" bestFit="1" customWidth="1"/>
    <col min="22" max="25" width="22.453125" style="34" bestFit="1" customWidth="1"/>
    <col min="26" max="16384" width="22.1796875" style="34"/>
  </cols>
  <sheetData>
    <row r="1" spans="1:20" ht="13" thickBot="1">
      <c r="B1" s="40"/>
      <c r="C1" s="40"/>
      <c r="D1" s="40"/>
      <c r="E1" s="40"/>
      <c r="F1" s="40"/>
      <c r="G1" s="40"/>
      <c r="H1" s="40"/>
      <c r="I1" s="21"/>
      <c r="J1" s="87"/>
      <c r="K1" s="87"/>
      <c r="L1" s="87"/>
      <c r="M1" s="88"/>
      <c r="N1" s="88"/>
    </row>
    <row r="2" spans="1:20">
      <c r="B2" s="89"/>
      <c r="C2" s="89"/>
      <c r="D2" s="89"/>
      <c r="E2" s="89"/>
      <c r="F2" s="89"/>
      <c r="G2" s="89"/>
      <c r="H2" s="89"/>
      <c r="I2" s="90"/>
      <c r="J2" s="87"/>
      <c r="K2" s="87"/>
      <c r="L2" s="87"/>
      <c r="M2" s="88"/>
      <c r="N2" s="88"/>
    </row>
    <row r="3" spans="1:20" ht="15.5">
      <c r="B3" s="162" t="s">
        <v>59</v>
      </c>
      <c r="C3" s="163" t="s">
        <v>60</v>
      </c>
      <c r="D3" s="25"/>
    </row>
    <row r="4" spans="1:20" ht="15.5">
      <c r="B4" s="112" t="s">
        <v>61</v>
      </c>
      <c r="C4" s="29" t="str">
        <f>Voorblad!$E$17</f>
        <v>Stichting Kolom</v>
      </c>
      <c r="D4" s="25"/>
    </row>
    <row r="5" spans="1:20" ht="16" thickBot="1">
      <c r="B5" s="112" t="s">
        <v>62</v>
      </c>
      <c r="C5" s="29" t="str">
        <f>Voorblad!$E$18</f>
        <v>Regio Amsterdam - Haarlem</v>
      </c>
      <c r="D5" s="25"/>
    </row>
    <row r="6" spans="1:20" ht="16" customHeight="1" thickBot="1">
      <c r="B6" s="112" t="s">
        <v>63</v>
      </c>
      <c r="C6" s="31" t="str">
        <f>Voorblad!$E$25</f>
        <v>2009-46–2022</v>
      </c>
      <c r="D6" s="25"/>
      <c r="F6" s="531" t="s">
        <v>28</v>
      </c>
      <c r="G6" s="30"/>
      <c r="H6" s="30"/>
      <c r="I6" s="30"/>
      <c r="J6" s="30"/>
      <c r="K6" s="113"/>
    </row>
    <row r="7" spans="1:20" ht="16" customHeight="1">
      <c r="B7" s="112" t="s">
        <v>10</v>
      </c>
      <c r="C7" s="32" t="str">
        <f ca="1">Voorblad!$E$27</f>
        <v xml:space="preserve">Bijlage E1 - Calculatiemodel  St Kolom Perceel 1 </v>
      </c>
      <c r="D7" s="25"/>
      <c r="F7" s="114"/>
      <c r="G7" s="30"/>
      <c r="H7" s="30"/>
      <c r="I7" s="30"/>
      <c r="J7" s="30"/>
    </row>
    <row r="8" spans="1:20" ht="16" customHeight="1">
      <c r="B8" s="162" t="s">
        <v>64</v>
      </c>
      <c r="C8" s="79" t="str">
        <f>Voorblad!$E$20</f>
        <v>[Naam organisatie Inschrijver]</v>
      </c>
      <c r="D8" s="115"/>
      <c r="G8" s="30"/>
      <c r="H8" s="30"/>
      <c r="I8" s="30"/>
      <c r="J8" s="30"/>
    </row>
    <row r="9" spans="1:20" ht="15.5">
      <c r="B9" s="112" t="s">
        <v>65</v>
      </c>
      <c r="C9" s="36">
        <f>Voorblad!$E$23</f>
        <v>45017</v>
      </c>
    </row>
    <row r="10" spans="1:20" ht="15.5">
      <c r="B10" s="112"/>
      <c r="C10" s="36"/>
    </row>
    <row r="11" spans="1:20" s="164" customFormat="1" ht="48" customHeight="1">
      <c r="B11" s="165" t="s">
        <v>66</v>
      </c>
      <c r="C11" s="80" t="s">
        <v>67</v>
      </c>
      <c r="D11" s="166" t="s">
        <v>68</v>
      </c>
      <c r="E11" s="167" t="s">
        <v>69</v>
      </c>
      <c r="F11" s="167" t="s">
        <v>70</v>
      </c>
      <c r="G11" s="168" t="s">
        <v>71</v>
      </c>
      <c r="H11" s="80" t="s">
        <v>72</v>
      </c>
      <c r="I11" s="80" t="s">
        <v>73</v>
      </c>
      <c r="J11" s="80" t="s">
        <v>74</v>
      </c>
      <c r="K11" s="80" t="s">
        <v>75</v>
      </c>
      <c r="L11" s="80" t="s">
        <v>76</v>
      </c>
      <c r="M11" s="80" t="s">
        <v>77</v>
      </c>
      <c r="N11" s="169"/>
      <c r="Q11" s="80" t="s">
        <v>78</v>
      </c>
    </row>
    <row r="12" spans="1:20" s="164" customFormat="1" ht="13">
      <c r="A12" s="482"/>
      <c r="B12" s="176"/>
      <c r="C12" s="83"/>
      <c r="D12" s="172"/>
      <c r="E12" s="173"/>
      <c r="F12" s="173"/>
      <c r="G12" s="174"/>
      <c r="H12" s="83"/>
      <c r="I12" s="83"/>
      <c r="J12" s="83"/>
      <c r="K12" s="83"/>
      <c r="L12" s="83"/>
      <c r="M12" s="83"/>
      <c r="N12" s="175"/>
      <c r="Q12" s="83"/>
    </row>
    <row r="13" spans="1:20" ht="20.149999999999999" hidden="1" customHeight="1">
      <c r="A13" s="483"/>
      <c r="C13" s="116"/>
      <c r="E13" s="117"/>
      <c r="F13" s="117"/>
      <c r="G13" s="118"/>
      <c r="H13" s="119"/>
      <c r="I13" s="119"/>
      <c r="K13" s="121"/>
      <c r="L13" s="122"/>
      <c r="M13" s="123"/>
      <c r="N13" s="124"/>
      <c r="O13" s="521"/>
      <c r="Q13" s="125"/>
      <c r="R13" s="126"/>
      <c r="S13" s="126"/>
    </row>
    <row r="14" spans="1:20" ht="20.149999999999999" hidden="1" customHeight="1">
      <c r="A14" s="483"/>
      <c r="C14" s="116"/>
      <c r="E14" s="117"/>
      <c r="F14" s="117"/>
      <c r="G14" s="118"/>
      <c r="H14" s="119"/>
      <c r="I14" s="119"/>
      <c r="K14" s="121"/>
      <c r="L14" s="122"/>
      <c r="M14" s="123"/>
      <c r="N14" s="124"/>
      <c r="O14" s="521"/>
      <c r="Q14" s="125"/>
      <c r="R14" s="126"/>
      <c r="S14" s="126"/>
    </row>
    <row r="15" spans="1:20" s="127" customFormat="1" ht="20.149999999999999" hidden="1" customHeight="1">
      <c r="A15" s="483"/>
      <c r="B15" s="34"/>
      <c r="C15" s="116"/>
      <c r="D15" s="34"/>
      <c r="E15" s="117"/>
      <c r="F15" s="117"/>
      <c r="G15" s="118"/>
      <c r="H15" s="119"/>
      <c r="I15" s="119"/>
      <c r="J15" s="34"/>
      <c r="K15" s="121"/>
      <c r="L15" s="122"/>
      <c r="M15" s="123"/>
      <c r="N15" s="124"/>
      <c r="O15" s="521"/>
      <c r="P15" s="111"/>
      <c r="Q15" s="125"/>
      <c r="R15" s="126"/>
      <c r="S15" s="126"/>
      <c r="T15" s="34"/>
    </row>
    <row r="16" spans="1:20" s="127" customFormat="1" ht="20.149999999999999" hidden="1" customHeight="1">
      <c r="A16" s="483"/>
      <c r="B16" s="34"/>
      <c r="C16" s="116"/>
      <c r="D16" s="34"/>
      <c r="E16" s="117"/>
      <c r="F16" s="117"/>
      <c r="G16" s="118"/>
      <c r="H16" s="119"/>
      <c r="I16" s="119"/>
      <c r="J16" s="34"/>
      <c r="K16" s="121"/>
      <c r="L16" s="122"/>
      <c r="M16" s="123"/>
      <c r="N16" s="124"/>
      <c r="O16" s="521"/>
      <c r="P16" s="111"/>
      <c r="Q16" s="125"/>
      <c r="R16" s="126"/>
      <c r="S16" s="126"/>
      <c r="T16" s="34"/>
    </row>
    <row r="17" spans="1:20" s="127" customFormat="1" ht="20.149999999999999" customHeight="1">
      <c r="A17" s="483">
        <f t="shared" ref="A17:A21" si="0">G17</f>
        <v>1</v>
      </c>
      <c r="B17" s="34" t="s">
        <v>79</v>
      </c>
      <c r="C17" s="116" t="s">
        <v>80</v>
      </c>
      <c r="D17" s="34" t="s">
        <v>81</v>
      </c>
      <c r="E17" s="117">
        <f ca="1">SUMIF('1.4-Basis ruimtestaat'!E:K,'1.2-Jaarprijzen'!B17,'1.4-Basis ruimtestaat'!K:K)</f>
        <v>1897.1337999999996</v>
      </c>
      <c r="F17" s="117">
        <f ca="1">SUMIF('1.4-Basis ruimtestaat'!E:L,'1.2-Jaarprijzen'!B17,'1.4-Basis ruimtestaat'!L:L)</f>
        <v>72.63</v>
      </c>
      <c r="G17" s="118">
        <v>1</v>
      </c>
      <c r="H17" s="119">
        <f>SUMIF('1.4-Basis ruimtestaat'!E:E,'1.2-Jaarprijzen'!B17,'1.4-Basis ruimtestaat'!R:R)+SUMIF('1.4-Basis ruimtestaat'!E:E,'1.2-Jaarprijzen'!B17,'1.4-Basis ruimtestaat'!T:T)</f>
        <v>988.17676509306057</v>
      </c>
      <c r="I17" s="119">
        <f>SUMIF('1.4-Basis ruimtestaat'!E:E,'1.2-Jaarprijzen'!B17,'1.4-Basis ruimtestaat'!S:S)</f>
        <v>203.61069710925244</v>
      </c>
      <c r="J17" s="34"/>
      <c r="K17" s="121">
        <f>(H17+I17)*'1.0-Contractblad'!$E$35</f>
        <v>107.26087159820817</v>
      </c>
      <c r="L17" s="122"/>
      <c r="M17" s="123">
        <f>IF(H17=0,0,SUMIF('1.4-Basis ruimtestaat'!E:E,'1.2-Jaarprijzen'!B17,'1.4-Basis ruimtestaat'!AC:AC)/SUM(H17+I17))</f>
        <v>286.90414259615318</v>
      </c>
      <c r="N17" s="124"/>
      <c r="O17" s="521"/>
      <c r="P17" s="111"/>
      <c r="Q17" s="125">
        <f t="shared" ref="Q17:Q21" si="1">H17/200</f>
        <v>4.9408838254653027</v>
      </c>
      <c r="R17" s="126"/>
      <c r="S17" s="126"/>
      <c r="T17" s="34"/>
    </row>
    <row r="18" spans="1:20" s="127" customFormat="1" ht="20.149999999999999" customHeight="1">
      <c r="A18" s="483">
        <f t="shared" si="0"/>
        <v>1</v>
      </c>
      <c r="B18" s="34" t="s">
        <v>82</v>
      </c>
      <c r="C18" s="116" t="s">
        <v>83</v>
      </c>
      <c r="D18" s="34" t="s">
        <v>81</v>
      </c>
      <c r="E18" s="117">
        <f ca="1">SUMIF('1.4-Basis ruimtestaat'!E:K,'1.2-Jaarprijzen'!B18,'1.4-Basis ruimtestaat'!K:K)</f>
        <v>2343.9399999999987</v>
      </c>
      <c r="F18" s="117">
        <f ca="1">SUMIF('1.4-Basis ruimtestaat'!E:L,'1.2-Jaarprijzen'!B18,'1.4-Basis ruimtestaat'!L:L)</f>
        <v>150.01000000000002</v>
      </c>
      <c r="G18" s="118">
        <v>1</v>
      </c>
      <c r="H18" s="119">
        <f>SUMIF('1.4-Basis ruimtestaat'!E:E,'1.2-Jaarprijzen'!B18,'1.4-Basis ruimtestaat'!R:R)+SUMIF('1.4-Basis ruimtestaat'!E:E,'1.2-Jaarprijzen'!B18,'1.4-Basis ruimtestaat'!T:T)</f>
        <v>1303.2457721081205</v>
      </c>
      <c r="I18" s="119">
        <f>SUMIF('1.4-Basis ruimtestaat'!E:E,'1.2-Jaarprijzen'!B18,'1.4-Basis ruimtestaat'!S:S)</f>
        <v>265.9003991951102</v>
      </c>
      <c r="J18" s="34"/>
      <c r="K18" s="121">
        <f>(H18+I18)*'1.0-Contractblad'!$E$35</f>
        <v>141.22315541729074</v>
      </c>
      <c r="L18" s="122"/>
      <c r="M18" s="123">
        <f>IF(H18=0,0,SUMIF('1.4-Basis ruimtestaat'!E:E,'1.2-Jaarprijzen'!B18,'1.4-Basis ruimtestaat'!AC:AC)/SUM(H18+I18))</f>
        <v>282.78359793050225</v>
      </c>
      <c r="N18" s="124"/>
      <c r="O18" s="521"/>
      <c r="P18" s="111"/>
      <c r="Q18" s="125">
        <f t="shared" si="1"/>
        <v>6.5162288605406022</v>
      </c>
      <c r="R18" s="126"/>
      <c r="S18" s="126"/>
      <c r="T18" s="34"/>
    </row>
    <row r="19" spans="1:20" ht="20.149999999999999" customHeight="1">
      <c r="A19" s="483">
        <f t="shared" si="0"/>
        <v>1</v>
      </c>
      <c r="B19" s="488" t="s">
        <v>84</v>
      </c>
      <c r="C19" s="116" t="s">
        <v>85</v>
      </c>
      <c r="D19" s="34" t="s">
        <v>81</v>
      </c>
      <c r="E19" s="117">
        <f ca="1">SUMIF('1.4-Basis ruimtestaat'!E:K,'1.2-Jaarprijzen'!B19,'1.4-Basis ruimtestaat'!K:K)</f>
        <v>3344.7099999999982</v>
      </c>
      <c r="F19" s="117">
        <f ca="1">SUMIF('1.4-Basis ruimtestaat'!E:L,'1.2-Jaarprijzen'!B19,'1.4-Basis ruimtestaat'!L:L)</f>
        <v>836.2600000000001</v>
      </c>
      <c r="G19" s="118">
        <v>1</v>
      </c>
      <c r="H19" s="119">
        <f>SUMIF('1.4-Basis ruimtestaat'!E:E,'1.2-Jaarprijzen'!B19,'1.4-Basis ruimtestaat'!R:R)+SUMIF('1.4-Basis ruimtestaat'!E:E,'1.2-Jaarprijzen'!B19,'1.4-Basis ruimtestaat'!T:T)</f>
        <v>1813.5824825784484</v>
      </c>
      <c r="I19" s="119">
        <f>SUMIF('1.4-Basis ruimtestaat'!E:E,'1.2-Jaarprijzen'!B19,'1.4-Basis ruimtestaat'!S:S)</f>
        <v>358.31773003760844</v>
      </c>
      <c r="K19" s="121">
        <f>(H19+I19)*'1.0-Contractblad'!$E$35</f>
        <v>195.47101913544509</v>
      </c>
      <c r="L19" s="122"/>
      <c r="M19" s="123">
        <f>IF(H19=0,0,SUMIF('1.4-Basis ruimtestaat'!E:E,'1.2-Jaarprijzen'!B19,'1.4-Basis ruimtestaat'!AC:AC)/SUM(H19+I19))</f>
        <v>297.46674190975381</v>
      </c>
      <c r="N19" s="124"/>
      <c r="O19" s="521"/>
      <c r="Q19" s="125">
        <f t="shared" si="1"/>
        <v>9.0679124128922428</v>
      </c>
      <c r="R19" s="126"/>
      <c r="S19" s="126"/>
    </row>
    <row r="20" spans="1:20" ht="20.149999999999999" customHeight="1">
      <c r="A20" s="483">
        <f t="shared" si="0"/>
        <v>1</v>
      </c>
      <c r="B20" s="34" t="s">
        <v>86</v>
      </c>
      <c r="C20" s="116" t="s">
        <v>87</v>
      </c>
      <c r="D20" s="34" t="s">
        <v>81</v>
      </c>
      <c r="E20" s="117">
        <f ca="1">SUMIF('1.4-Basis ruimtestaat'!E:K,'1.2-Jaarprijzen'!B20,'1.4-Basis ruimtestaat'!K:K)</f>
        <v>1732.1499999999996</v>
      </c>
      <c r="F20" s="117">
        <f ca="1">SUMIF('1.4-Basis ruimtestaat'!E:L,'1.2-Jaarprijzen'!B20,'1.4-Basis ruimtestaat'!L:L)</f>
        <v>135.85</v>
      </c>
      <c r="G20" s="118">
        <v>1</v>
      </c>
      <c r="H20" s="119">
        <f>SUMIF('1.4-Basis ruimtestaat'!E:E,'1.2-Jaarprijzen'!B20,'1.4-Basis ruimtestaat'!R:R)+SUMIF('1.4-Basis ruimtestaat'!E:E,'1.2-Jaarprijzen'!B20,'1.4-Basis ruimtestaat'!T:T)</f>
        <v>919.77236412894354</v>
      </c>
      <c r="I20" s="119">
        <f>SUMIF('1.4-Basis ruimtestaat'!E:E,'1.2-Jaarprijzen'!B20,'1.4-Basis ruimtestaat'!S:S)</f>
        <v>198.61157071537031</v>
      </c>
      <c r="K20" s="121">
        <f>(H20+I20)*'1.0-Contractblad'!$E$35</f>
        <v>100.65455413598825</v>
      </c>
      <c r="L20" s="122"/>
      <c r="M20" s="123">
        <f>IF(H20=0,0,SUMIF('1.4-Basis ruimtestaat'!E:E,'1.2-Jaarprijzen'!B20,'1.4-Basis ruimtestaat'!AC:AC)/SUM(H20+I20))</f>
        <v>288.81852639001386</v>
      </c>
      <c r="N20" s="124"/>
      <c r="O20" s="521"/>
      <c r="Q20" s="125">
        <f t="shared" si="1"/>
        <v>4.5988618206447178</v>
      </c>
      <c r="R20" s="126"/>
      <c r="S20" s="126"/>
    </row>
    <row r="21" spans="1:20" ht="20.149999999999999" customHeight="1">
      <c r="A21" s="483">
        <f t="shared" si="0"/>
        <v>1</v>
      </c>
      <c r="B21" s="34" t="s">
        <v>88</v>
      </c>
      <c r="C21" s="116" t="s">
        <v>89</v>
      </c>
      <c r="D21" s="34" t="s">
        <v>81</v>
      </c>
      <c r="E21" s="117">
        <f ca="1">SUMIF('1.4-Basis ruimtestaat'!E:K,'1.2-Jaarprijzen'!B21,'1.4-Basis ruimtestaat'!K:K)</f>
        <v>1185.7100000000003</v>
      </c>
      <c r="F21" s="117">
        <f ca="1">SUMIF('1.4-Basis ruimtestaat'!E:L,'1.2-Jaarprijzen'!B21,'1.4-Basis ruimtestaat'!L:L)</f>
        <v>108.97</v>
      </c>
      <c r="G21" s="118">
        <v>1</v>
      </c>
      <c r="H21" s="119">
        <f>SUMIF('1.4-Basis ruimtestaat'!E:E,'1.2-Jaarprijzen'!B21,'1.4-Basis ruimtestaat'!R:R)+SUMIF('1.4-Basis ruimtestaat'!E:E,'1.2-Jaarprijzen'!B21,'1.4-Basis ruimtestaat'!T:T)</f>
        <v>646.97769711184719</v>
      </c>
      <c r="I21" s="119">
        <f>SUMIF('1.4-Basis ruimtestaat'!E:E,'1.2-Jaarprijzen'!B21,'1.4-Basis ruimtestaat'!S:S)</f>
        <v>125.4435040988859</v>
      </c>
      <c r="K21" s="121">
        <f>(H21+I21)*'1.0-Contractblad'!$E$35</f>
        <v>69.517908108965983</v>
      </c>
      <c r="L21" s="122"/>
      <c r="M21" s="123">
        <f>IF(H21=0,0,SUMIF('1.4-Basis ruimtestaat'!E:E,'1.2-Jaarprijzen'!B21,'1.4-Basis ruimtestaat'!AC:AC)/SUM(H21+I21))</f>
        <v>288.0749514011502</v>
      </c>
      <c r="N21" s="124"/>
      <c r="O21" s="521"/>
      <c r="Q21" s="125">
        <f t="shared" si="1"/>
        <v>3.2348884855592361</v>
      </c>
      <c r="R21" s="126"/>
      <c r="S21" s="126"/>
    </row>
    <row r="22" spans="1:20" s="127" customFormat="1" ht="20.149999999999999" hidden="1" customHeight="1">
      <c r="A22" s="483"/>
      <c r="B22" s="34"/>
      <c r="C22" s="116"/>
      <c r="D22" s="34"/>
      <c r="E22" s="117"/>
      <c r="F22" s="117"/>
      <c r="G22" s="118"/>
      <c r="H22" s="119"/>
      <c r="I22" s="119"/>
      <c r="J22" s="34"/>
      <c r="K22" s="121"/>
      <c r="L22" s="122"/>
      <c r="M22" s="123"/>
      <c r="N22" s="124"/>
      <c r="O22" s="521"/>
      <c r="P22" s="111"/>
      <c r="Q22" s="125"/>
      <c r="R22" s="126"/>
      <c r="S22" s="126"/>
      <c r="T22" s="34"/>
    </row>
    <row r="23" spans="1:20" s="127" customFormat="1" ht="20.149999999999999" hidden="1" customHeight="1">
      <c r="A23" s="483"/>
      <c r="B23" s="34"/>
      <c r="C23" s="116"/>
      <c r="D23" s="34"/>
      <c r="E23" s="117"/>
      <c r="F23" s="117"/>
      <c r="G23" s="118"/>
      <c r="H23" s="119"/>
      <c r="I23" s="119"/>
      <c r="J23" s="34"/>
      <c r="K23" s="121"/>
      <c r="L23" s="122"/>
      <c r="M23" s="123"/>
      <c r="N23" s="124"/>
      <c r="O23" s="521"/>
      <c r="P23" s="111"/>
      <c r="Q23" s="125"/>
      <c r="R23" s="126"/>
      <c r="S23" s="126"/>
      <c r="T23" s="34"/>
    </row>
    <row r="24" spans="1:20" s="127" customFormat="1" ht="20.149999999999999" hidden="1" customHeight="1">
      <c r="A24" s="483"/>
      <c r="B24" s="34"/>
      <c r="C24" s="116"/>
      <c r="D24" s="34"/>
      <c r="E24" s="117"/>
      <c r="F24" s="117"/>
      <c r="G24" s="118"/>
      <c r="H24" s="119"/>
      <c r="I24" s="119"/>
      <c r="J24" s="34"/>
      <c r="K24" s="121"/>
      <c r="L24" s="122"/>
      <c r="M24" s="123"/>
      <c r="N24" s="124"/>
      <c r="O24" s="521"/>
      <c r="P24" s="111"/>
      <c r="Q24" s="125"/>
      <c r="R24" s="126"/>
      <c r="S24" s="126"/>
      <c r="T24" s="34"/>
    </row>
    <row r="25" spans="1:20" s="127" customFormat="1" ht="20.149999999999999" hidden="1" customHeight="1">
      <c r="A25" s="483"/>
      <c r="B25" s="34"/>
      <c r="C25" s="116"/>
      <c r="D25" s="34"/>
      <c r="E25" s="117"/>
      <c r="F25" s="117"/>
      <c r="G25" s="118"/>
      <c r="H25" s="119"/>
      <c r="I25" s="119"/>
      <c r="J25" s="34"/>
      <c r="K25" s="121"/>
      <c r="L25" s="122"/>
      <c r="M25" s="123"/>
      <c r="N25" s="124"/>
      <c r="O25" s="521"/>
      <c r="P25" s="111"/>
      <c r="Q25" s="125"/>
      <c r="R25" s="126"/>
      <c r="S25" s="126"/>
      <c r="T25" s="34"/>
    </row>
    <row r="26" spans="1:20" s="127" customFormat="1" ht="20.149999999999999" hidden="1" customHeight="1">
      <c r="A26" s="483"/>
      <c r="B26" s="34"/>
      <c r="C26" s="116"/>
      <c r="D26" s="34"/>
      <c r="E26" s="117"/>
      <c r="F26" s="117"/>
      <c r="G26" s="118"/>
      <c r="H26" s="119"/>
      <c r="I26" s="119"/>
      <c r="J26" s="34"/>
      <c r="K26" s="121"/>
      <c r="L26" s="122"/>
      <c r="M26" s="123"/>
      <c r="N26" s="124"/>
      <c r="O26" s="521"/>
      <c r="P26" s="111"/>
      <c r="Q26" s="125"/>
      <c r="R26" s="126"/>
      <c r="S26" s="126"/>
      <c r="T26" s="34"/>
    </row>
    <row r="27" spans="1:20" s="127" customFormat="1" ht="20.149999999999999" hidden="1" customHeight="1">
      <c r="A27" s="483"/>
      <c r="B27" s="34"/>
      <c r="C27" s="116"/>
      <c r="D27" s="34"/>
      <c r="E27" s="117"/>
      <c r="F27" s="117"/>
      <c r="G27" s="118"/>
      <c r="H27" s="119"/>
      <c r="I27" s="119"/>
      <c r="J27" s="34"/>
      <c r="K27" s="121"/>
      <c r="L27" s="122"/>
      <c r="M27" s="123"/>
      <c r="N27" s="124"/>
      <c r="O27" s="521"/>
      <c r="P27" s="111"/>
      <c r="Q27" s="125"/>
      <c r="R27" s="126"/>
      <c r="S27" s="126"/>
      <c r="T27" s="34"/>
    </row>
    <row r="28" spans="1:20" s="127" customFormat="1" ht="20.149999999999999" hidden="1" customHeight="1">
      <c r="A28" s="483"/>
      <c r="B28" s="34"/>
      <c r="C28" s="116"/>
      <c r="D28" s="34"/>
      <c r="E28" s="117"/>
      <c r="F28" s="117"/>
      <c r="G28" s="118"/>
      <c r="H28" s="119"/>
      <c r="I28" s="119"/>
      <c r="J28" s="34"/>
      <c r="K28" s="121"/>
      <c r="L28" s="122"/>
      <c r="M28" s="123"/>
      <c r="N28" s="124"/>
      <c r="O28" s="521"/>
      <c r="P28" s="111"/>
      <c r="Q28" s="125"/>
      <c r="R28" s="126"/>
      <c r="S28" s="126"/>
      <c r="T28" s="34"/>
    </row>
    <row r="29" spans="1:20" s="127" customFormat="1" ht="20.149999999999999" hidden="1" customHeight="1">
      <c r="A29" s="483"/>
      <c r="B29" s="34"/>
      <c r="C29" s="116"/>
      <c r="D29" s="34"/>
      <c r="E29" s="117"/>
      <c r="F29" s="117"/>
      <c r="G29" s="118"/>
      <c r="H29" s="119"/>
      <c r="I29" s="119"/>
      <c r="J29" s="34"/>
      <c r="K29" s="121"/>
      <c r="L29" s="122"/>
      <c r="M29" s="123"/>
      <c r="N29" s="124"/>
      <c r="O29" s="521"/>
      <c r="P29" s="111"/>
      <c r="Q29" s="125"/>
      <c r="R29" s="126"/>
      <c r="S29" s="126"/>
      <c r="T29" s="34"/>
    </row>
    <row r="30" spans="1:20" s="127" customFormat="1" ht="20.149999999999999" hidden="1" customHeight="1">
      <c r="A30" s="483"/>
      <c r="B30" s="34"/>
      <c r="C30" s="116"/>
      <c r="D30" s="34"/>
      <c r="E30" s="117"/>
      <c r="F30" s="117"/>
      <c r="G30" s="118"/>
      <c r="H30" s="119"/>
      <c r="I30" s="119"/>
      <c r="J30" s="34"/>
      <c r="K30" s="121"/>
      <c r="L30" s="122"/>
      <c r="M30" s="123">
        <f>IF(H30=0,0,SUMIF('1.4-Basis ruimtestaat'!E:E,'1.2-Jaarprijzen'!B30,'1.4-Basis ruimtestaat'!AC:AC)/SUM(H30+I30))</f>
        <v>0</v>
      </c>
      <c r="N30" s="124"/>
      <c r="O30" s="34"/>
      <c r="P30" s="111"/>
      <c r="Q30" s="125"/>
      <c r="R30" s="126"/>
      <c r="S30" s="126"/>
      <c r="T30" s="34"/>
    </row>
    <row r="31" spans="1:20" s="127" customFormat="1" ht="20.149999999999999" hidden="1" customHeight="1">
      <c r="A31" s="483"/>
      <c r="B31" s="34"/>
      <c r="C31" s="116"/>
      <c r="D31" s="34"/>
      <c r="E31" s="117"/>
      <c r="F31" s="117"/>
      <c r="G31" s="118"/>
      <c r="H31" s="119"/>
      <c r="I31" s="119"/>
      <c r="J31" s="34"/>
      <c r="K31" s="121"/>
      <c r="L31" s="122"/>
      <c r="M31" s="123">
        <f>IF(H31=0,0,SUMIF('1.4-Basis ruimtestaat'!E:E,'1.2-Jaarprijzen'!B31,'1.4-Basis ruimtestaat'!AC:AC)/SUM(H31+I31))</f>
        <v>0</v>
      </c>
      <c r="N31" s="124"/>
      <c r="O31" s="34"/>
      <c r="P31" s="111"/>
      <c r="Q31" s="125"/>
      <c r="R31" s="126"/>
      <c r="S31" s="126"/>
      <c r="T31" s="34"/>
    </row>
    <row r="32" spans="1:20" ht="20.149999999999999" hidden="1" customHeight="1">
      <c r="A32" s="483"/>
      <c r="C32" s="116"/>
      <c r="E32" s="117"/>
      <c r="F32" s="117"/>
      <c r="G32" s="118"/>
      <c r="H32" s="119"/>
      <c r="I32" s="119"/>
      <c r="K32" s="121"/>
      <c r="L32" s="122"/>
      <c r="M32" s="123">
        <f>IF(H32=0,0,SUMIF('1.4-Basis ruimtestaat'!E:E,'1.2-Jaarprijzen'!B32,'1.4-Basis ruimtestaat'!AC:AC)/SUM(H32+I32))</f>
        <v>0</v>
      </c>
      <c r="N32" s="124"/>
      <c r="Q32" s="125"/>
      <c r="R32" s="126"/>
      <c r="S32" s="126"/>
    </row>
    <row r="33" spans="1:20" s="127" customFormat="1" ht="20.149999999999999" hidden="1" customHeight="1">
      <c r="A33" s="483"/>
      <c r="B33" s="34"/>
      <c r="C33" s="116"/>
      <c r="D33" s="34"/>
      <c r="E33" s="117"/>
      <c r="F33" s="117"/>
      <c r="G33" s="118"/>
      <c r="H33" s="119"/>
      <c r="I33" s="119"/>
      <c r="J33" s="34"/>
      <c r="K33" s="121"/>
      <c r="L33" s="122"/>
      <c r="M33" s="123">
        <f>IF(H33=0,0,SUMIF('1.4-Basis ruimtestaat'!E:E,'1.2-Jaarprijzen'!B33,'1.4-Basis ruimtestaat'!AC:AC)/SUM(H33+I33))</f>
        <v>0</v>
      </c>
      <c r="N33" s="124"/>
      <c r="O33" s="34"/>
      <c r="P33" s="111"/>
      <c r="Q33" s="125"/>
      <c r="R33" s="126"/>
      <c r="S33" s="126"/>
      <c r="T33" s="34"/>
    </row>
    <row r="34" spans="1:20" s="127" customFormat="1" ht="20.149999999999999" hidden="1" customHeight="1">
      <c r="A34" s="483"/>
      <c r="B34" s="34"/>
      <c r="C34" s="116"/>
      <c r="D34" s="34"/>
      <c r="E34" s="117"/>
      <c r="F34" s="117"/>
      <c r="G34" s="118"/>
      <c r="H34" s="119"/>
      <c r="I34" s="119"/>
      <c r="J34" s="34"/>
      <c r="K34" s="121"/>
      <c r="L34" s="122"/>
      <c r="M34" s="123">
        <f>IF(H34=0,0,SUMIF('1.4-Basis ruimtestaat'!E:E,'1.2-Jaarprijzen'!B34,'1.4-Basis ruimtestaat'!AC:AC)/SUM(H34+I34))</f>
        <v>0</v>
      </c>
      <c r="N34" s="124"/>
      <c r="O34" s="34"/>
      <c r="P34" s="111"/>
      <c r="Q34" s="125"/>
      <c r="R34" s="126"/>
      <c r="S34" s="126"/>
      <c r="T34" s="34"/>
    </row>
    <row r="35" spans="1:20" ht="20.149999999999999" hidden="1" customHeight="1">
      <c r="A35" s="483"/>
      <c r="C35" s="116"/>
      <c r="E35" s="117"/>
      <c r="F35" s="117"/>
      <c r="G35" s="118"/>
      <c r="H35" s="119"/>
      <c r="I35" s="119"/>
      <c r="K35" s="121"/>
      <c r="L35" s="122"/>
      <c r="M35" s="123">
        <f>IF(H35=0,0,SUMIF('1.4-Basis ruimtestaat'!E:E,'1.2-Jaarprijzen'!B35,'1.4-Basis ruimtestaat'!AC:AC)/SUM(H35+I35))</f>
        <v>0</v>
      </c>
      <c r="N35" s="124"/>
      <c r="Q35" s="125"/>
      <c r="R35" s="126"/>
      <c r="S35" s="126"/>
    </row>
    <row r="36" spans="1:20" s="127" customFormat="1" ht="20.149999999999999" hidden="1" customHeight="1">
      <c r="A36" s="483"/>
      <c r="B36" s="34"/>
      <c r="C36" s="116"/>
      <c r="D36" s="34"/>
      <c r="E36" s="117"/>
      <c r="F36" s="117"/>
      <c r="G36" s="118"/>
      <c r="H36" s="119"/>
      <c r="I36" s="119"/>
      <c r="J36" s="34"/>
      <c r="K36" s="121"/>
      <c r="L36" s="122"/>
      <c r="M36" s="123">
        <f>IF(H36=0,0,SUMIF('1.4-Basis ruimtestaat'!E:E,'1.2-Jaarprijzen'!B36,'1.4-Basis ruimtestaat'!AC:AC)/SUM(H36+I36))</f>
        <v>0</v>
      </c>
      <c r="N36" s="124"/>
      <c r="O36" s="34"/>
      <c r="P36" s="111"/>
      <c r="Q36" s="125"/>
      <c r="R36" s="126"/>
      <c r="S36" s="126"/>
      <c r="T36" s="34"/>
    </row>
    <row r="37" spans="1:20" s="127" customFormat="1" ht="20.149999999999999" hidden="1" customHeight="1">
      <c r="A37" s="483"/>
      <c r="B37" s="34"/>
      <c r="C37" s="116"/>
      <c r="D37" s="34"/>
      <c r="E37" s="117"/>
      <c r="F37" s="117"/>
      <c r="G37" s="118"/>
      <c r="H37" s="119"/>
      <c r="I37" s="119"/>
      <c r="J37" s="34"/>
      <c r="K37" s="121"/>
      <c r="L37" s="122"/>
      <c r="M37" s="123">
        <f>IF(H37=0,0,SUMIF('1.4-Basis ruimtestaat'!E:E,'1.2-Jaarprijzen'!B37,'1.4-Basis ruimtestaat'!AC:AC)/SUM(H37+I37))</f>
        <v>0</v>
      </c>
      <c r="N37" s="124"/>
      <c r="O37" s="34"/>
      <c r="P37" s="111"/>
      <c r="Q37" s="125"/>
      <c r="R37" s="126"/>
      <c r="S37" s="126"/>
      <c r="T37" s="34"/>
    </row>
    <row r="38" spans="1:20" ht="20.149999999999999" hidden="1" customHeight="1">
      <c r="A38" s="483"/>
      <c r="C38" s="116"/>
      <c r="E38" s="117"/>
      <c r="F38" s="117"/>
      <c r="G38" s="118"/>
      <c r="H38" s="119"/>
      <c r="I38" s="119"/>
      <c r="K38" s="121"/>
      <c r="L38" s="122"/>
      <c r="M38" s="123">
        <f>IF(H38=0,0,SUMIF('1.4-Basis ruimtestaat'!E:E,'1.2-Jaarprijzen'!B38,'1.4-Basis ruimtestaat'!AC:AC)/SUM(H38+I38))</f>
        <v>0</v>
      </c>
      <c r="N38" s="124"/>
      <c r="Q38" s="125"/>
      <c r="R38" s="126"/>
      <c r="S38" s="126"/>
    </row>
    <row r="39" spans="1:20" s="127" customFormat="1" ht="20.149999999999999" hidden="1" customHeight="1">
      <c r="A39" s="483"/>
      <c r="B39" s="34"/>
      <c r="C39" s="116"/>
      <c r="D39" s="34"/>
      <c r="E39" s="117"/>
      <c r="F39" s="117"/>
      <c r="G39" s="118"/>
      <c r="H39" s="119"/>
      <c r="I39" s="119"/>
      <c r="J39" s="34"/>
      <c r="K39" s="121"/>
      <c r="L39" s="122"/>
      <c r="M39" s="123">
        <f>IF(H39=0,0,SUMIF('1.4-Basis ruimtestaat'!E:E,'1.2-Jaarprijzen'!B39,'1.4-Basis ruimtestaat'!AC:AC)/SUM(H39+I39))</f>
        <v>0</v>
      </c>
      <c r="N39" s="124"/>
      <c r="O39" s="34"/>
      <c r="P39" s="111"/>
      <c r="Q39" s="125"/>
      <c r="R39" s="126"/>
      <c r="S39" s="126"/>
      <c r="T39" s="34"/>
    </row>
    <row r="40" spans="1:20" s="127" customFormat="1" ht="20.149999999999999" hidden="1" customHeight="1">
      <c r="A40" s="483"/>
      <c r="B40" s="34"/>
      <c r="C40" s="116"/>
      <c r="D40" s="34"/>
      <c r="E40" s="117"/>
      <c r="F40" s="117"/>
      <c r="G40" s="118"/>
      <c r="H40" s="119"/>
      <c r="I40" s="119"/>
      <c r="J40" s="34"/>
      <c r="K40" s="121"/>
      <c r="L40" s="122"/>
      <c r="M40" s="123">
        <f>IF(H40=0,0,SUMIF('1.4-Basis ruimtestaat'!E:E,'1.2-Jaarprijzen'!B40,'1.4-Basis ruimtestaat'!AC:AC)/SUM(H40+I40))</f>
        <v>0</v>
      </c>
      <c r="N40" s="124"/>
      <c r="O40" s="34"/>
      <c r="P40" s="111"/>
      <c r="Q40" s="125"/>
      <c r="R40" s="126"/>
      <c r="S40" s="126"/>
      <c r="T40" s="34"/>
    </row>
    <row r="41" spans="1:20" s="127" customFormat="1" ht="20.149999999999999" hidden="1" customHeight="1">
      <c r="A41" s="483"/>
      <c r="B41" s="34"/>
      <c r="C41" s="116"/>
      <c r="D41" s="34"/>
      <c r="E41" s="117"/>
      <c r="F41" s="117"/>
      <c r="G41" s="118"/>
      <c r="H41" s="119"/>
      <c r="I41" s="119"/>
      <c r="J41" s="34"/>
      <c r="K41" s="121"/>
      <c r="L41" s="122"/>
      <c r="M41" s="123">
        <f>IF(H41=0,0,SUMIF('1.4-Basis ruimtestaat'!E:E,'1.2-Jaarprijzen'!B41,'1.4-Basis ruimtestaat'!AC:AC)/SUM(H41+I41))</f>
        <v>0</v>
      </c>
      <c r="N41" s="124"/>
      <c r="O41" s="34"/>
      <c r="P41" s="111"/>
      <c r="Q41" s="125"/>
      <c r="R41" s="126"/>
      <c r="S41" s="126"/>
      <c r="T41" s="34"/>
    </row>
    <row r="42" spans="1:20" ht="20.149999999999999" hidden="1" customHeight="1">
      <c r="A42" s="483"/>
      <c r="C42" s="116"/>
      <c r="E42" s="117"/>
      <c r="F42" s="117"/>
      <c r="G42" s="118"/>
      <c r="H42" s="119"/>
      <c r="I42" s="119"/>
      <c r="K42" s="121"/>
      <c r="L42" s="122"/>
      <c r="M42" s="123">
        <f>IF(H42=0,0,SUMIF('1.4-Basis ruimtestaat'!E:E,'1.2-Jaarprijzen'!B42,'1.4-Basis ruimtestaat'!AC:AC)/SUM(H42+I42))</f>
        <v>0</v>
      </c>
      <c r="N42" s="124"/>
      <c r="Q42" s="125"/>
      <c r="R42" s="126"/>
      <c r="S42" s="126"/>
    </row>
    <row r="43" spans="1:20" ht="20.149999999999999" hidden="1" customHeight="1">
      <c r="A43" s="483"/>
      <c r="C43" s="116"/>
      <c r="E43" s="117"/>
      <c r="F43" s="117"/>
      <c r="G43" s="118"/>
      <c r="H43" s="119"/>
      <c r="I43" s="119"/>
      <c r="K43" s="121"/>
      <c r="L43" s="122"/>
      <c r="M43" s="123">
        <f>IF(H43=0,0,SUMIF('1.4-Basis ruimtestaat'!E:E,'1.2-Jaarprijzen'!B43,'1.4-Basis ruimtestaat'!AC:AC)/SUM(H43+I43))</f>
        <v>0</v>
      </c>
      <c r="N43" s="124"/>
      <c r="Q43" s="125"/>
      <c r="R43" s="126"/>
      <c r="S43" s="126"/>
    </row>
    <row r="44" spans="1:20" ht="20.149999999999999" hidden="1" customHeight="1">
      <c r="A44" s="483"/>
      <c r="C44" s="116"/>
      <c r="E44" s="117"/>
      <c r="F44" s="117"/>
      <c r="G44" s="118"/>
      <c r="H44" s="119"/>
      <c r="I44" s="119"/>
      <c r="K44" s="121"/>
      <c r="L44" s="122"/>
      <c r="M44" s="123">
        <f>IF(H44=0,0,SUMIF('1.4-Basis ruimtestaat'!E:E,'1.2-Jaarprijzen'!B44,'1.4-Basis ruimtestaat'!AC:AC)/SUM(H44+I44))</f>
        <v>0</v>
      </c>
      <c r="N44" s="124"/>
      <c r="Q44" s="125"/>
      <c r="R44" s="126"/>
      <c r="S44" s="126"/>
    </row>
    <row r="45" spans="1:20" s="127" customFormat="1" ht="20.149999999999999" hidden="1" customHeight="1">
      <c r="A45" s="483"/>
      <c r="B45" s="34"/>
      <c r="C45" s="116"/>
      <c r="D45" s="34"/>
      <c r="E45" s="117"/>
      <c r="F45" s="117"/>
      <c r="G45" s="118"/>
      <c r="H45" s="119"/>
      <c r="I45" s="119"/>
      <c r="J45" s="34"/>
      <c r="K45" s="121"/>
      <c r="L45" s="122"/>
      <c r="M45" s="123">
        <f>IF(H45=0,0,SUMIF('1.4-Basis ruimtestaat'!E:E,'1.2-Jaarprijzen'!B45,'1.4-Basis ruimtestaat'!AC:AC)/SUM(H45+I45))</f>
        <v>0</v>
      </c>
      <c r="N45" s="124"/>
      <c r="O45" s="34"/>
      <c r="P45" s="111"/>
      <c r="Q45" s="125"/>
      <c r="R45" s="126"/>
      <c r="S45" s="126"/>
      <c r="T45" s="34"/>
    </row>
    <row r="46" spans="1:20" s="127" customFormat="1" ht="20.149999999999999" hidden="1" customHeight="1">
      <c r="A46" s="483"/>
      <c r="B46" s="34"/>
      <c r="C46" s="116"/>
      <c r="D46" s="34"/>
      <c r="E46" s="117"/>
      <c r="F46" s="117"/>
      <c r="G46" s="118"/>
      <c r="H46" s="119"/>
      <c r="I46" s="119"/>
      <c r="J46" s="34"/>
      <c r="K46" s="121"/>
      <c r="L46" s="122"/>
      <c r="M46" s="123">
        <f>IF(H46=0,0,SUMIF('1.4-Basis ruimtestaat'!E:E,'1.2-Jaarprijzen'!B46,'1.4-Basis ruimtestaat'!AC:AC)/SUM(H46+I46))</f>
        <v>0</v>
      </c>
      <c r="N46" s="124"/>
      <c r="O46" s="34"/>
      <c r="P46" s="111"/>
      <c r="Q46" s="125"/>
      <c r="R46" s="126"/>
      <c r="S46" s="126"/>
      <c r="T46" s="34"/>
    </row>
    <row r="47" spans="1:20" ht="13">
      <c r="A47" s="484"/>
      <c r="E47" s="117"/>
      <c r="F47" s="117"/>
      <c r="G47" s="117"/>
      <c r="H47" s="117"/>
      <c r="I47" s="119"/>
      <c r="J47" s="119"/>
      <c r="K47" s="119"/>
      <c r="L47" s="121"/>
      <c r="M47" s="123">
        <f>IF(H47=0,0,SUMIF('1.4-Basis ruimtestaat'!E:E,'1.2-Jaarprijzen'!B47,'1.4-Basis ruimtestaat'!AC:AC)/SUM(H47+I47))</f>
        <v>0</v>
      </c>
      <c r="N47" s="129"/>
      <c r="O47" s="130"/>
    </row>
    <row r="48" spans="1:20" ht="13">
      <c r="A48" s="484"/>
      <c r="E48" s="117"/>
      <c r="F48" s="117"/>
      <c r="G48" s="117"/>
      <c r="H48" s="117"/>
      <c r="I48" s="119"/>
      <c r="J48" s="119"/>
      <c r="K48" s="119"/>
      <c r="L48" s="121"/>
      <c r="M48" s="128"/>
      <c r="N48" s="129"/>
      <c r="O48" s="130"/>
    </row>
    <row r="49" spans="1:21" hidden="1">
      <c r="A49" s="484"/>
      <c r="B49" s="131"/>
      <c r="E49" s="126"/>
      <c r="F49" s="126"/>
      <c r="H49" s="132">
        <f>'1.0-Contractblad'!$L$25</f>
        <v>27.286263581808615</v>
      </c>
      <c r="I49" s="132">
        <f>H49</f>
        <v>27.286263581808615</v>
      </c>
      <c r="J49" s="132"/>
      <c r="K49" s="132"/>
      <c r="L49" s="132">
        <f>'1.0-Contractblad'!$L$35</f>
        <v>34.237882051102396</v>
      </c>
      <c r="M49" s="133"/>
      <c r="N49" s="133"/>
    </row>
    <row r="50" spans="1:21" ht="13" hidden="1">
      <c r="A50" s="484" t="s">
        <v>90</v>
      </c>
      <c r="B50" s="131"/>
      <c r="D50" s="134"/>
      <c r="E50" s="135"/>
      <c r="F50" s="135"/>
      <c r="G50" s="134"/>
      <c r="H50" s="134"/>
    </row>
    <row r="51" spans="1:21" s="170" customFormat="1" ht="48" customHeight="1">
      <c r="A51" s="485" t="s">
        <v>90</v>
      </c>
      <c r="B51" s="165" t="s">
        <v>66</v>
      </c>
      <c r="C51" s="80" t="s">
        <v>67</v>
      </c>
      <c r="D51" s="166" t="s">
        <v>91</v>
      </c>
      <c r="E51" s="80" t="s">
        <v>92</v>
      </c>
      <c r="F51" s="80" t="s">
        <v>93</v>
      </c>
      <c r="G51" s="80" t="s">
        <v>94</v>
      </c>
      <c r="H51" s="80" t="s">
        <v>95</v>
      </c>
      <c r="I51" s="80" t="s">
        <v>96</v>
      </c>
      <c r="J51" s="80" t="s">
        <v>97</v>
      </c>
      <c r="K51" s="80" t="s">
        <v>98</v>
      </c>
      <c r="L51" s="80" t="s">
        <v>99</v>
      </c>
      <c r="M51" s="80" t="s">
        <v>100</v>
      </c>
      <c r="N51" s="169"/>
      <c r="Q51" s="171"/>
      <c r="R51" s="164"/>
      <c r="S51" s="164"/>
      <c r="T51" s="164"/>
      <c r="U51" s="164"/>
    </row>
    <row r="52" spans="1:21" s="164" customFormat="1" ht="13">
      <c r="A52" s="482"/>
      <c r="B52" s="176"/>
      <c r="C52" s="83"/>
      <c r="D52" s="172"/>
      <c r="E52" s="173"/>
      <c r="F52" s="173"/>
      <c r="G52" s="83"/>
      <c r="H52" s="83"/>
      <c r="I52" s="83"/>
      <c r="J52" s="83"/>
      <c r="K52" s="83"/>
      <c r="L52" s="83"/>
      <c r="M52" s="83"/>
      <c r="N52" s="175"/>
      <c r="Q52" s="83"/>
    </row>
    <row r="53" spans="1:21" ht="20.149999999999999" hidden="1" customHeight="1">
      <c r="A53" s="516"/>
      <c r="B53" s="131"/>
      <c r="D53" s="136"/>
      <c r="E53" s="137"/>
      <c r="F53" s="137"/>
      <c r="G53" s="137"/>
      <c r="H53" s="137"/>
      <c r="I53" s="137"/>
      <c r="J53" s="138"/>
      <c r="K53" s="139"/>
      <c r="L53" s="120"/>
      <c r="M53" s="120"/>
      <c r="N53" s="111"/>
      <c r="Q53" s="140"/>
      <c r="T53" s="153"/>
    </row>
    <row r="54" spans="1:21" ht="20.149999999999999" hidden="1" customHeight="1">
      <c r="A54" s="516"/>
      <c r="B54" s="131"/>
      <c r="D54" s="136"/>
      <c r="E54" s="137"/>
      <c r="F54" s="137"/>
      <c r="G54" s="137"/>
      <c r="H54" s="137"/>
      <c r="I54" s="137"/>
      <c r="J54" s="138"/>
      <c r="K54" s="139"/>
      <c r="L54" s="120"/>
      <c r="M54" s="120"/>
      <c r="N54" s="111"/>
      <c r="Q54" s="140"/>
      <c r="T54" s="153"/>
    </row>
    <row r="55" spans="1:21" ht="20.149999999999999" hidden="1" customHeight="1">
      <c r="A55" s="516"/>
      <c r="B55" s="131"/>
      <c r="D55" s="136"/>
      <c r="E55" s="137"/>
      <c r="F55" s="137"/>
      <c r="G55" s="137"/>
      <c r="H55" s="137"/>
      <c r="I55" s="137"/>
      <c r="J55" s="138"/>
      <c r="K55" s="139"/>
      <c r="L55" s="120"/>
      <c r="M55" s="120"/>
      <c r="N55" s="111"/>
      <c r="Q55" s="140"/>
      <c r="T55" s="153"/>
    </row>
    <row r="56" spans="1:21" ht="20.149999999999999" hidden="1" customHeight="1">
      <c r="A56" s="516"/>
      <c r="B56" s="131"/>
      <c r="D56" s="136"/>
      <c r="E56" s="137"/>
      <c r="F56" s="137"/>
      <c r="G56" s="137"/>
      <c r="H56" s="137"/>
      <c r="I56" s="137"/>
      <c r="J56" s="138"/>
      <c r="K56" s="139"/>
      <c r="L56" s="120"/>
      <c r="M56" s="120"/>
      <c r="N56" s="111"/>
      <c r="Q56" s="140"/>
      <c r="T56" s="153"/>
    </row>
    <row r="57" spans="1:21" ht="20.149999999999999" customHeight="1">
      <c r="A57" s="516">
        <f t="shared" ref="A57:A61" si="2">A17</f>
        <v>1</v>
      </c>
      <c r="B57" s="131" t="str">
        <f t="shared" ref="B57:C57" si="3">B17</f>
        <v>Professor Dumont</v>
      </c>
      <c r="C57" s="34" t="str">
        <f t="shared" si="3"/>
        <v>Woudrichemstraat 2-4</v>
      </c>
      <c r="D57" s="136">
        <f>SUMIF('1.0-Contractblad'!$A$48:$A$52,'1.2-Jaarprijzen'!B57,'1.0-Contractblad'!$J$48:$J$52)</f>
        <v>0</v>
      </c>
      <c r="E57" s="137">
        <v>0</v>
      </c>
      <c r="F57" s="137">
        <f t="shared" ref="F57:F61" si="4">$H$49*H17+$I$49*I17</f>
        <v>32519.426827147086</v>
      </c>
      <c r="G57" s="137">
        <f t="shared" ref="G57:G61" si="5">$L$49*K17</f>
        <v>3672.3850704778902</v>
      </c>
      <c r="H57" s="137">
        <f t="shared" ref="H57:H61" si="6">$H$49*J37</f>
        <v>0</v>
      </c>
      <c r="I57" s="137">
        <f t="shared" ref="I57:I61" si="7">E57+F57+G57+D57+H57</f>
        <v>36191.811897624975</v>
      </c>
      <c r="J57" s="138"/>
      <c r="K57" s="139"/>
      <c r="L57" s="120"/>
      <c r="M57" s="120">
        <f t="shared" ref="M57:M61" si="8">I57+L57</f>
        <v>36191.811897624975</v>
      </c>
      <c r="N57" s="111"/>
      <c r="Q57" s="140">
        <f t="shared" ref="Q57:Q61" ca="1" si="9">L57/(E17)</f>
        <v>0</v>
      </c>
      <c r="T57" s="153">
        <f t="shared" ref="T57:T61" ca="1" si="10">I57/E17</f>
        <v>19.077100359302534</v>
      </c>
    </row>
    <row r="58" spans="1:21" ht="20.149999999999999" customHeight="1">
      <c r="A58" s="516">
        <f t="shared" si="2"/>
        <v>1</v>
      </c>
      <c r="B58" s="131" t="str">
        <f t="shared" ref="B58:C58" si="11">B18</f>
        <v>De Hasselbraam</v>
      </c>
      <c r="C58" s="34" t="str">
        <f t="shared" si="11"/>
        <v>Karel Klinkenbergstraat 40</v>
      </c>
      <c r="D58" s="136">
        <f>SUMIF('1.0-Contractblad'!$A$48:$A$52,'1.2-Jaarprijzen'!B58,'1.0-Contractblad'!$J$48:$J$52)</f>
        <v>0</v>
      </c>
      <c r="E58" s="137">
        <v>0</v>
      </c>
      <c r="F58" s="137">
        <f t="shared" si="4"/>
        <v>42816.136028565765</v>
      </c>
      <c r="G58" s="137">
        <f t="shared" si="5"/>
        <v>4835.1817380617031</v>
      </c>
      <c r="H58" s="137">
        <f t="shared" si="6"/>
        <v>0</v>
      </c>
      <c r="I58" s="137">
        <f t="shared" si="7"/>
        <v>47651.317766627471</v>
      </c>
      <c r="J58" s="138"/>
      <c r="K58" s="139"/>
      <c r="L58" s="120"/>
      <c r="M58" s="120">
        <f t="shared" si="8"/>
        <v>47651.317766627471</v>
      </c>
      <c r="N58" s="111"/>
      <c r="Q58" s="140">
        <f t="shared" ca="1" si="9"/>
        <v>0</v>
      </c>
      <c r="T58" s="153">
        <f t="shared" ca="1" si="10"/>
        <v>20.32958086240582</v>
      </c>
    </row>
    <row r="59" spans="1:21" ht="20.149999999999999" customHeight="1">
      <c r="A59" s="516">
        <f t="shared" si="2"/>
        <v>1</v>
      </c>
      <c r="B59" s="131" t="str">
        <f t="shared" ref="B59:C59" si="12">B19</f>
        <v>De Wereldboom</v>
      </c>
      <c r="C59" s="34" t="str">
        <f t="shared" si="12"/>
        <v>Peelstraat 171</v>
      </c>
      <c r="D59" s="136">
        <f>SUMIF('1.0-Contractblad'!$A$48:$A$52,'1.2-Jaarprijzen'!B59,'1.0-Contractblad'!$J$48:$J$52)</f>
        <v>0</v>
      </c>
      <c r="E59" s="137">
        <v>0</v>
      </c>
      <c r="F59" s="137">
        <f t="shared" si="4"/>
        <v>59263.041674827902</v>
      </c>
      <c r="G59" s="137">
        <f t="shared" si="5"/>
        <v>6692.513697568148</v>
      </c>
      <c r="H59" s="137">
        <f t="shared" si="6"/>
        <v>0</v>
      </c>
      <c r="I59" s="137">
        <f t="shared" si="7"/>
        <v>65955.555372396047</v>
      </c>
      <c r="J59" s="138"/>
      <c r="K59" s="139"/>
      <c r="L59" s="120"/>
      <c r="M59" s="120">
        <f t="shared" si="8"/>
        <v>65955.555372396047</v>
      </c>
      <c r="N59" s="111"/>
      <c r="Q59" s="140">
        <f t="shared" ca="1" si="9"/>
        <v>0</v>
      </c>
      <c r="T59" s="153">
        <f t="shared" ca="1" si="10"/>
        <v>19.719364420950122</v>
      </c>
    </row>
    <row r="60" spans="1:21" ht="20.149999999999999" customHeight="1">
      <c r="A60" s="516">
        <f t="shared" si="2"/>
        <v>1</v>
      </c>
      <c r="B60" s="131" t="str">
        <f t="shared" ref="B60:C60" si="13">B20</f>
        <v>De Zeppelin</v>
      </c>
      <c r="C60" s="34" t="str">
        <f t="shared" si="13"/>
        <v>Bessenpad 1</v>
      </c>
      <c r="D60" s="136">
        <f>SUMIF('1.0-Contractblad'!$A$48:$A$52,'1.2-Jaarprijzen'!B60,'1.0-Contractblad'!$J$48:$J$52)</f>
        <v>0</v>
      </c>
      <c r="E60" s="137">
        <v>0</v>
      </c>
      <c r="F60" s="137">
        <f t="shared" si="4"/>
        <v>30516.518831822221</v>
      </c>
      <c r="G60" s="137">
        <f t="shared" si="5"/>
        <v>3446.1987524142664</v>
      </c>
      <c r="H60" s="137">
        <f t="shared" si="6"/>
        <v>0</v>
      </c>
      <c r="I60" s="137">
        <f t="shared" si="7"/>
        <v>33962.717584236489</v>
      </c>
      <c r="J60" s="138"/>
      <c r="K60" s="139"/>
      <c r="L60" s="120"/>
      <c r="M60" s="120">
        <f t="shared" si="8"/>
        <v>33962.717584236489</v>
      </c>
      <c r="N60" s="111"/>
      <c r="Q60" s="140">
        <f t="shared" ca="1" si="9"/>
        <v>0</v>
      </c>
      <c r="T60" s="153">
        <f t="shared" ca="1" si="10"/>
        <v>19.607261255801458</v>
      </c>
    </row>
    <row r="61" spans="1:21" ht="20.149999999999999" customHeight="1">
      <c r="A61" s="516">
        <f t="shared" si="2"/>
        <v>1</v>
      </c>
      <c r="B61" s="131" t="str">
        <f t="shared" ref="B61:C61" si="14">B21</f>
        <v>De Driesprong</v>
      </c>
      <c r="C61" s="34" t="str">
        <f t="shared" si="14"/>
        <v>Sloterweg 1192</v>
      </c>
      <c r="D61" s="136">
        <f>SUMIF('1.0-Contractblad'!$A$48:$A$52,'1.2-Jaarprijzen'!B61,'1.0-Contractblad'!$J$48:$J$52)</f>
        <v>0</v>
      </c>
      <c r="E61" s="137">
        <v>0</v>
      </c>
      <c r="F61" s="137">
        <f t="shared" si="4"/>
        <v>21076.488492413289</v>
      </c>
      <c r="G61" s="137">
        <f t="shared" si="5"/>
        <v>2380.1459382741523</v>
      </c>
      <c r="H61" s="137">
        <f t="shared" si="6"/>
        <v>0</v>
      </c>
      <c r="I61" s="137">
        <f t="shared" si="7"/>
        <v>23456.634430687442</v>
      </c>
      <c r="J61" s="138"/>
      <c r="K61" s="139"/>
      <c r="L61" s="120"/>
      <c r="M61" s="120">
        <f t="shared" si="8"/>
        <v>23456.634430687442</v>
      </c>
      <c r="N61" s="111"/>
      <c r="Q61" s="140">
        <f t="shared" ca="1" si="9"/>
        <v>0</v>
      </c>
      <c r="T61" s="153">
        <f t="shared" ca="1" si="10"/>
        <v>19.782775240731237</v>
      </c>
    </row>
    <row r="62" spans="1:21" ht="20.149999999999999" hidden="1" customHeight="1">
      <c r="A62" s="516"/>
      <c r="B62" s="131"/>
      <c r="D62" s="136"/>
      <c r="E62" s="137"/>
      <c r="F62" s="137"/>
      <c r="G62" s="137"/>
      <c r="H62" s="137"/>
      <c r="I62" s="137"/>
      <c r="J62" s="138"/>
      <c r="K62" s="139"/>
      <c r="L62" s="120"/>
      <c r="M62" s="120"/>
      <c r="N62" s="111"/>
      <c r="Q62" s="140"/>
      <c r="T62" s="153"/>
    </row>
    <row r="63" spans="1:21" ht="20.149999999999999" hidden="1" customHeight="1">
      <c r="A63" s="516"/>
      <c r="B63" s="131"/>
      <c r="D63" s="136"/>
      <c r="E63" s="137"/>
      <c r="F63" s="137"/>
      <c r="G63" s="137"/>
      <c r="H63" s="137"/>
      <c r="I63" s="137"/>
      <c r="J63" s="138"/>
      <c r="K63" s="139"/>
      <c r="L63" s="120"/>
      <c r="M63" s="120"/>
      <c r="N63" s="111"/>
      <c r="Q63" s="140"/>
      <c r="T63" s="153"/>
    </row>
    <row r="64" spans="1:21" ht="20.149999999999999" hidden="1" customHeight="1">
      <c r="A64" s="516"/>
      <c r="B64" s="131"/>
      <c r="D64" s="136"/>
      <c r="E64" s="137"/>
      <c r="F64" s="137"/>
      <c r="G64" s="137"/>
      <c r="H64" s="137"/>
      <c r="I64" s="137"/>
      <c r="J64" s="138"/>
      <c r="K64" s="139"/>
      <c r="L64" s="120"/>
      <c r="M64" s="120"/>
      <c r="N64" s="111"/>
      <c r="Q64" s="140"/>
      <c r="T64" s="153"/>
    </row>
    <row r="65" spans="1:20" ht="20.149999999999999" hidden="1" customHeight="1">
      <c r="A65" s="516"/>
      <c r="B65" s="131"/>
      <c r="D65" s="136"/>
      <c r="E65" s="137"/>
      <c r="F65" s="137"/>
      <c r="G65" s="137"/>
      <c r="H65" s="137"/>
      <c r="I65" s="137"/>
      <c r="J65" s="138"/>
      <c r="K65" s="139"/>
      <c r="L65" s="120"/>
      <c r="M65" s="120"/>
      <c r="N65" s="111"/>
      <c r="Q65" s="140"/>
      <c r="T65" s="153"/>
    </row>
    <row r="66" spans="1:20" ht="20.149999999999999" hidden="1" customHeight="1">
      <c r="A66" s="516"/>
      <c r="B66" s="131"/>
      <c r="D66" s="136"/>
      <c r="E66" s="137"/>
      <c r="F66" s="137"/>
      <c r="G66" s="137"/>
      <c r="H66" s="137"/>
      <c r="I66" s="137"/>
      <c r="J66" s="138"/>
      <c r="K66" s="139"/>
      <c r="L66" s="120"/>
      <c r="M66" s="120"/>
      <c r="N66" s="111"/>
      <c r="Q66" s="140"/>
      <c r="T66" s="153"/>
    </row>
    <row r="67" spans="1:20" ht="20.149999999999999" hidden="1" customHeight="1">
      <c r="A67" s="516"/>
      <c r="B67" s="131"/>
      <c r="D67" s="136"/>
      <c r="E67" s="137"/>
      <c r="F67" s="137"/>
      <c r="G67" s="137"/>
      <c r="H67" s="137"/>
      <c r="I67" s="137"/>
      <c r="J67" s="138"/>
      <c r="K67" s="139"/>
      <c r="L67" s="120"/>
      <c r="M67" s="120"/>
      <c r="N67" s="111"/>
      <c r="Q67" s="140"/>
      <c r="T67" s="153"/>
    </row>
    <row r="68" spans="1:20" ht="20.149999999999999" hidden="1" customHeight="1">
      <c r="A68" s="516"/>
      <c r="B68" s="131"/>
      <c r="D68" s="136"/>
      <c r="E68" s="137"/>
      <c r="F68" s="137"/>
      <c r="G68" s="137"/>
      <c r="H68" s="137"/>
      <c r="I68" s="137"/>
      <c r="J68" s="138"/>
      <c r="K68" s="139"/>
      <c r="L68" s="120"/>
      <c r="M68" s="120"/>
      <c r="N68" s="111"/>
      <c r="Q68" s="140"/>
      <c r="T68" s="153"/>
    </row>
    <row r="69" spans="1:20" ht="20.149999999999999" customHeight="1">
      <c r="A69" s="516"/>
      <c r="B69" s="131"/>
      <c r="D69" s="136"/>
      <c r="E69" s="137"/>
      <c r="F69" s="137"/>
      <c r="G69" s="137"/>
      <c r="H69" s="137"/>
      <c r="I69" s="137"/>
      <c r="J69" s="138"/>
      <c r="K69" s="139"/>
      <c r="L69" s="120"/>
      <c r="M69" s="120"/>
      <c r="N69" s="111"/>
      <c r="Q69" s="140"/>
      <c r="T69" s="153"/>
    </row>
    <row r="70" spans="1:20" ht="20.149999999999999" hidden="1" customHeight="1">
      <c r="A70" s="516"/>
      <c r="B70" s="131"/>
      <c r="D70" s="136"/>
      <c r="E70" s="137"/>
      <c r="F70" s="137"/>
      <c r="G70" s="137"/>
      <c r="H70" s="137"/>
      <c r="I70" s="137"/>
      <c r="J70" s="138"/>
      <c r="K70" s="139"/>
      <c r="L70" s="120"/>
      <c r="M70" s="120"/>
      <c r="N70" s="111"/>
      <c r="Q70" s="140"/>
      <c r="T70" s="153"/>
    </row>
    <row r="71" spans="1:20" ht="20.149999999999999" hidden="1" customHeight="1">
      <c r="A71" s="516"/>
      <c r="B71" s="131"/>
      <c r="D71" s="136"/>
      <c r="E71" s="137"/>
      <c r="F71" s="137"/>
      <c r="G71" s="137"/>
      <c r="H71" s="137"/>
      <c r="I71" s="137"/>
      <c r="J71" s="138"/>
      <c r="K71" s="139"/>
      <c r="L71" s="120"/>
      <c r="M71" s="120"/>
      <c r="N71" s="111"/>
      <c r="Q71" s="140"/>
      <c r="T71" s="153"/>
    </row>
    <row r="72" spans="1:20" ht="20.149999999999999" hidden="1" customHeight="1">
      <c r="A72" s="516"/>
      <c r="B72" s="131"/>
      <c r="D72" s="136"/>
      <c r="E72" s="137"/>
      <c r="F72" s="137"/>
      <c r="G72" s="137"/>
      <c r="H72" s="137"/>
      <c r="I72" s="137"/>
      <c r="J72" s="138"/>
      <c r="K72" s="139"/>
      <c r="L72" s="120"/>
      <c r="M72" s="120"/>
      <c r="N72" s="111"/>
      <c r="Q72" s="140"/>
      <c r="T72" s="153"/>
    </row>
    <row r="73" spans="1:20" ht="20.149999999999999" hidden="1" customHeight="1">
      <c r="A73" s="516"/>
      <c r="B73" s="131"/>
      <c r="D73" s="136"/>
      <c r="E73" s="137"/>
      <c r="F73" s="137"/>
      <c r="G73" s="137"/>
      <c r="H73" s="137"/>
      <c r="I73" s="137"/>
      <c r="J73" s="138"/>
      <c r="K73" s="139"/>
      <c r="L73" s="120"/>
      <c r="M73" s="120"/>
      <c r="N73" s="111"/>
      <c r="Q73" s="140"/>
      <c r="T73" s="153"/>
    </row>
    <row r="74" spans="1:20" ht="20.149999999999999" hidden="1" customHeight="1">
      <c r="A74" s="516"/>
      <c r="B74" s="131"/>
      <c r="D74" s="136"/>
      <c r="E74" s="137"/>
      <c r="F74" s="137"/>
      <c r="G74" s="137"/>
      <c r="H74" s="137"/>
      <c r="I74" s="137"/>
      <c r="J74" s="138"/>
      <c r="K74" s="139"/>
      <c r="L74" s="120"/>
      <c r="M74" s="120"/>
      <c r="N74" s="111"/>
      <c r="Q74" s="140"/>
      <c r="T74" s="153"/>
    </row>
    <row r="75" spans="1:20" ht="20.149999999999999" hidden="1" customHeight="1">
      <c r="A75" s="516"/>
      <c r="B75" s="131"/>
      <c r="D75" s="136"/>
      <c r="E75" s="137"/>
      <c r="F75" s="137"/>
      <c r="G75" s="137"/>
      <c r="H75" s="137"/>
      <c r="I75" s="137"/>
      <c r="J75" s="138"/>
      <c r="K75" s="139"/>
      <c r="L75" s="120"/>
      <c r="M75" s="120"/>
      <c r="N75" s="111"/>
      <c r="Q75" s="140"/>
      <c r="T75" s="153"/>
    </row>
    <row r="76" spans="1:20" ht="20.149999999999999" hidden="1" customHeight="1">
      <c r="A76" s="516"/>
      <c r="B76" s="131"/>
      <c r="D76" s="136"/>
      <c r="E76" s="137"/>
      <c r="F76" s="137"/>
      <c r="G76" s="137"/>
      <c r="H76" s="137"/>
      <c r="I76" s="137"/>
      <c r="J76" s="138"/>
      <c r="K76" s="139"/>
      <c r="L76" s="120"/>
      <c r="M76" s="120"/>
      <c r="N76" s="111"/>
      <c r="Q76" s="140"/>
      <c r="T76" s="153"/>
    </row>
    <row r="77" spans="1:20" ht="20.149999999999999" hidden="1" customHeight="1">
      <c r="A77" s="516"/>
      <c r="B77" s="131"/>
      <c r="D77" s="136"/>
      <c r="E77" s="137"/>
      <c r="F77" s="137"/>
      <c r="G77" s="137"/>
      <c r="H77" s="137"/>
      <c r="I77" s="137"/>
      <c r="J77" s="138"/>
      <c r="K77" s="139"/>
      <c r="L77" s="120"/>
      <c r="M77" s="120"/>
      <c r="N77" s="111"/>
      <c r="Q77" s="140"/>
      <c r="T77" s="153"/>
    </row>
    <row r="78" spans="1:20" ht="20.149999999999999" hidden="1" customHeight="1">
      <c r="A78" s="516"/>
      <c r="B78" s="131"/>
      <c r="D78" s="136"/>
      <c r="E78" s="137"/>
      <c r="F78" s="137"/>
      <c r="G78" s="137"/>
      <c r="H78" s="137"/>
      <c r="I78" s="137"/>
      <c r="J78" s="138"/>
      <c r="K78" s="139"/>
      <c r="L78" s="120"/>
      <c r="M78" s="120"/>
      <c r="N78" s="111"/>
      <c r="Q78" s="140"/>
      <c r="T78" s="153"/>
    </row>
    <row r="79" spans="1:20" ht="20.149999999999999" hidden="1" customHeight="1">
      <c r="A79" s="516"/>
      <c r="B79" s="131"/>
      <c r="D79" s="136"/>
      <c r="E79" s="137"/>
      <c r="F79" s="137"/>
      <c r="G79" s="137"/>
      <c r="H79" s="137"/>
      <c r="I79" s="137"/>
      <c r="J79" s="138"/>
      <c r="K79" s="139"/>
      <c r="L79" s="120"/>
      <c r="M79" s="120"/>
      <c r="N79" s="111"/>
      <c r="Q79" s="140"/>
      <c r="T79" s="153"/>
    </row>
    <row r="80" spans="1:20" ht="20.149999999999999" hidden="1" customHeight="1">
      <c r="A80" s="516"/>
      <c r="B80" s="131"/>
      <c r="D80" s="136"/>
      <c r="E80" s="137"/>
      <c r="F80" s="137"/>
      <c r="G80" s="137"/>
      <c r="H80" s="137"/>
      <c r="I80" s="137"/>
      <c r="J80" s="138"/>
      <c r="K80" s="139"/>
      <c r="L80" s="120"/>
      <c r="M80" s="120"/>
      <c r="N80" s="111"/>
      <c r="Q80" s="140"/>
      <c r="T80" s="153"/>
    </row>
    <row r="81" spans="1:20" ht="20.149999999999999" hidden="1" customHeight="1">
      <c r="A81" s="516"/>
      <c r="B81" s="131"/>
      <c r="D81" s="136"/>
      <c r="E81" s="137"/>
      <c r="F81" s="137"/>
      <c r="G81" s="137"/>
      <c r="H81" s="137"/>
      <c r="I81" s="137"/>
      <c r="J81" s="138"/>
      <c r="K81" s="139"/>
      <c r="L81" s="120"/>
      <c r="M81" s="120"/>
      <c r="N81" s="111"/>
      <c r="Q81" s="140"/>
      <c r="T81" s="153"/>
    </row>
    <row r="82" spans="1:20" ht="20.149999999999999" hidden="1" customHeight="1">
      <c r="A82" s="516"/>
      <c r="B82" s="131"/>
      <c r="D82" s="136"/>
      <c r="E82" s="137"/>
      <c r="F82" s="137"/>
      <c r="G82" s="137"/>
      <c r="H82" s="137"/>
      <c r="I82" s="137"/>
      <c r="J82" s="138"/>
      <c r="K82" s="139"/>
      <c r="L82" s="120"/>
      <c r="M82" s="120"/>
      <c r="N82" s="111"/>
      <c r="Q82" s="140"/>
      <c r="T82" s="153"/>
    </row>
    <row r="83" spans="1:20" ht="20.149999999999999" hidden="1" customHeight="1">
      <c r="A83" s="516"/>
      <c r="B83" s="131"/>
      <c r="D83" s="136"/>
      <c r="E83" s="137"/>
      <c r="F83" s="137"/>
      <c r="G83" s="137"/>
      <c r="H83" s="137"/>
      <c r="I83" s="137"/>
      <c r="J83" s="138"/>
      <c r="K83" s="139"/>
      <c r="L83" s="120"/>
      <c r="M83" s="120"/>
      <c r="N83" s="111"/>
      <c r="Q83" s="140"/>
      <c r="T83" s="153"/>
    </row>
    <row r="84" spans="1:20" ht="20.149999999999999" hidden="1" customHeight="1">
      <c r="A84" s="516"/>
      <c r="B84" s="131"/>
      <c r="D84" s="136"/>
      <c r="E84" s="137"/>
      <c r="F84" s="137"/>
      <c r="G84" s="137"/>
      <c r="H84" s="137"/>
      <c r="I84" s="137"/>
      <c r="J84" s="138"/>
      <c r="K84" s="139"/>
      <c r="L84" s="120"/>
      <c r="M84" s="120"/>
      <c r="N84" s="111"/>
      <c r="Q84" s="140"/>
      <c r="T84" s="153"/>
    </row>
    <row r="85" spans="1:20" ht="20.149999999999999" hidden="1" customHeight="1">
      <c r="A85" s="516"/>
      <c r="B85" s="131"/>
      <c r="D85" s="136"/>
      <c r="E85" s="137"/>
      <c r="F85" s="137"/>
      <c r="G85" s="137"/>
      <c r="H85" s="137"/>
      <c r="I85" s="137"/>
      <c r="J85" s="138"/>
      <c r="K85" s="139"/>
      <c r="L85" s="120"/>
      <c r="M85" s="120"/>
      <c r="N85" s="111"/>
      <c r="Q85" s="140"/>
      <c r="T85" s="153"/>
    </row>
    <row r="86" spans="1:20" ht="20.149999999999999" hidden="1" customHeight="1">
      <c r="A86" s="516"/>
      <c r="B86" s="131"/>
      <c r="D86" s="136"/>
      <c r="E86" s="137"/>
      <c r="F86" s="137"/>
      <c r="G86" s="137"/>
      <c r="H86" s="137"/>
      <c r="I86" s="137"/>
      <c r="J86" s="138"/>
      <c r="K86" s="139"/>
      <c r="L86" s="120"/>
      <c r="M86" s="120"/>
      <c r="N86" s="111"/>
      <c r="Q86" s="140"/>
      <c r="T86" s="153"/>
    </row>
    <row r="87" spans="1:20" ht="13" hidden="1">
      <c r="A87" s="516"/>
      <c r="B87" s="131"/>
      <c r="D87" s="136"/>
      <c r="E87" s="137"/>
      <c r="F87" s="137"/>
      <c r="G87" s="137"/>
      <c r="H87" s="137"/>
      <c r="I87" s="137"/>
      <c r="J87" s="138"/>
      <c r="K87" s="139"/>
      <c r="L87" s="142"/>
      <c r="M87" s="137"/>
      <c r="N87" s="140"/>
      <c r="Q87" s="141"/>
      <c r="T87" s="153"/>
    </row>
    <row r="88" spans="1:20" ht="15.5" hidden="1">
      <c r="A88" s="517"/>
      <c r="E88" s="126"/>
      <c r="F88" s="126"/>
      <c r="H88" s="143"/>
      <c r="I88" s="144"/>
      <c r="J88" s="144"/>
      <c r="K88" s="145"/>
      <c r="L88" s="144"/>
      <c r="M88" s="144"/>
      <c r="N88" s="146"/>
      <c r="Q88" s="147"/>
    </row>
    <row r="89" spans="1:20">
      <c r="A89" s="518"/>
      <c r="B89" s="149"/>
      <c r="E89" s="126"/>
      <c r="F89" s="126"/>
      <c r="Q89" s="111"/>
    </row>
    <row r="90" spans="1:20" ht="15.5">
      <c r="A90" s="519">
        <v>1</v>
      </c>
      <c r="B90" s="111"/>
      <c r="C90" s="511" t="s">
        <v>101</v>
      </c>
      <c r="D90" s="150">
        <f ca="1">SUMIF($A$53:$M$86,$A90,$D$53:$D$86)</f>
        <v>0</v>
      </c>
      <c r="E90" s="151">
        <f ca="1">SUMIF($A$53:$M$86,$A90,$E$53:$E$86)</f>
        <v>0</v>
      </c>
      <c r="F90" s="151">
        <f ca="1">SUMIF($A$53:$M$86,$A90,$F$53:$F$86)</f>
        <v>186191.61185477625</v>
      </c>
      <c r="G90" s="151">
        <f ca="1">SUMIF($A$53:$M$86,$A90,$G$53:$G$86)</f>
        <v>21026.425196796161</v>
      </c>
      <c r="H90" s="151">
        <f ca="1">SUMIF($A$53:$M$86,$A90,$H$53:$H$86)</f>
        <v>0</v>
      </c>
      <c r="I90" s="151">
        <f ca="1">SUMIF($A$53:$M$86,$A90,$I$53:$I$86)</f>
        <v>207218.03705157244</v>
      </c>
      <c r="J90" s="151">
        <f ca="1">SUMIF($A$53:$M$86,$A90,$J$53:$J$86)</f>
        <v>0</v>
      </c>
      <c r="K90" s="151"/>
      <c r="L90" s="151">
        <f ca="1">SUMIF($A$53:$M$86,$A90,$L$53:$L$86)</f>
        <v>0</v>
      </c>
      <c r="M90" s="151">
        <f ca="1">SUMIF($A$53:$M$86,$A90,$M$53:$M$86)</f>
        <v>207218.03705157244</v>
      </c>
      <c r="Q90" s="148"/>
    </row>
    <row r="91" spans="1:20">
      <c r="A91" s="519"/>
      <c r="B91" s="149"/>
      <c r="E91" s="126"/>
      <c r="F91" s="126"/>
      <c r="P91" s="34"/>
      <c r="Q91" s="147"/>
    </row>
    <row r="92" spans="1:20" ht="15.5">
      <c r="A92" s="519"/>
      <c r="E92" s="126"/>
      <c r="F92" s="152"/>
      <c r="G92" s="152"/>
      <c r="H92" s="152"/>
      <c r="I92" s="143"/>
      <c r="J92" s="144"/>
      <c r="K92" s="144"/>
      <c r="L92" s="144"/>
      <c r="M92" s="143"/>
      <c r="N92" s="144"/>
      <c r="O92" s="144"/>
      <c r="P92" s="34"/>
      <c r="Q92" s="111"/>
    </row>
    <row r="93" spans="1:20">
      <c r="B93" s="154"/>
      <c r="C93" s="117"/>
      <c r="D93" s="125"/>
      <c r="E93" s="125"/>
      <c r="F93" s="125"/>
      <c r="G93" s="125"/>
      <c r="I93" s="153"/>
      <c r="J93" s="153"/>
    </row>
    <row r="94" spans="1:20">
      <c r="B94" s="154"/>
      <c r="C94" s="155"/>
      <c r="D94" s="155"/>
      <c r="E94" s="155"/>
      <c r="F94" s="155"/>
      <c r="G94" s="155"/>
      <c r="H94" s="155"/>
      <c r="M94" s="136"/>
    </row>
    <row r="95" spans="1:20" ht="13">
      <c r="B95" s="156"/>
      <c r="C95" s="442" t="s">
        <v>102</v>
      </c>
      <c r="D95" s="442" t="s">
        <v>102</v>
      </c>
      <c r="E95" s="442" t="s">
        <v>102</v>
      </c>
      <c r="F95" s="442" t="s">
        <v>102</v>
      </c>
      <c r="G95" s="442" t="s">
        <v>102</v>
      </c>
      <c r="H95" s="157"/>
    </row>
    <row r="96" spans="1:20" ht="14">
      <c r="B96" s="156"/>
      <c r="C96" s="443">
        <v>2024</v>
      </c>
      <c r="D96" s="443">
        <f>C96+1</f>
        <v>2025</v>
      </c>
      <c r="E96" s="443">
        <f>D96+1</f>
        <v>2026</v>
      </c>
      <c r="F96" s="443">
        <f>E96+1</f>
        <v>2027</v>
      </c>
      <c r="G96" s="443">
        <f>F96+1</f>
        <v>2028</v>
      </c>
      <c r="H96" s="157"/>
      <c r="M96" s="158"/>
    </row>
    <row r="97" spans="2:14" ht="18" customHeight="1">
      <c r="B97" s="159" t="s">
        <v>103</v>
      </c>
      <c r="C97" s="439"/>
      <c r="D97" s="439"/>
      <c r="E97" s="439"/>
      <c r="F97" s="439"/>
      <c r="G97" s="440"/>
      <c r="H97" s="157"/>
    </row>
    <row r="98" spans="2:14" ht="13">
      <c r="B98" s="159" t="s">
        <v>104</v>
      </c>
      <c r="C98" s="441"/>
      <c r="D98" s="441"/>
      <c r="E98" s="441"/>
      <c r="F98" s="441"/>
      <c r="G98" s="441"/>
      <c r="H98" s="157"/>
    </row>
    <row r="99" spans="2:14" hidden="1">
      <c r="B99" s="160">
        <v>1</v>
      </c>
      <c r="C99" s="161">
        <f>B99*C98+B99</f>
        <v>1</v>
      </c>
      <c r="D99" s="161">
        <f>C99*D98+C99</f>
        <v>1</v>
      </c>
      <c r="E99" s="161">
        <f>D99*E98+D99</f>
        <v>1</v>
      </c>
      <c r="F99" s="161">
        <f>E99*F98+E99</f>
        <v>1</v>
      </c>
      <c r="G99" s="161">
        <f>F99*G98+F99</f>
        <v>1</v>
      </c>
      <c r="H99" s="157"/>
    </row>
    <row r="100" spans="2:14" ht="13" thickBot="1">
      <c r="E100" s="126"/>
      <c r="F100" s="126"/>
    </row>
    <row r="101" spans="2:14"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</row>
    <row r="102" spans="2:14">
      <c r="B102" s="154"/>
      <c r="E102" s="126"/>
      <c r="F102" s="126"/>
    </row>
    <row r="103" spans="2:14">
      <c r="E103" s="126"/>
      <c r="F103" s="126"/>
    </row>
    <row r="104" spans="2:14">
      <c r="E104" s="126"/>
      <c r="F104" s="126"/>
    </row>
    <row r="105" spans="2:14">
      <c r="E105" s="126"/>
      <c r="F105" s="126"/>
    </row>
    <row r="106" spans="2:14">
      <c r="E106" s="126"/>
      <c r="F106" s="126"/>
    </row>
    <row r="107" spans="2:14">
      <c r="E107" s="126"/>
      <c r="F107" s="126"/>
    </row>
    <row r="108" spans="2:14">
      <c r="E108" s="126"/>
      <c r="F108" s="126"/>
    </row>
    <row r="109" spans="2:14">
      <c r="E109" s="126"/>
      <c r="F109" s="126"/>
    </row>
    <row r="110" spans="2:14">
      <c r="E110" s="126"/>
      <c r="F110" s="126"/>
    </row>
    <row r="111" spans="2:14">
      <c r="E111" s="126"/>
      <c r="F111" s="126"/>
    </row>
    <row r="112" spans="2:14">
      <c r="E112" s="126"/>
      <c r="F112" s="126"/>
    </row>
    <row r="113" spans="5:6">
      <c r="E113" s="126"/>
      <c r="F113" s="126"/>
    </row>
    <row r="114" spans="5:6">
      <c r="E114" s="126"/>
      <c r="F114" s="126"/>
    </row>
    <row r="115" spans="5:6">
      <c r="E115" s="126"/>
      <c r="F115" s="126"/>
    </row>
    <row r="116" spans="5:6">
      <c r="E116" s="126"/>
      <c r="F116" s="126"/>
    </row>
    <row r="117" spans="5:6">
      <c r="E117" s="126"/>
      <c r="F117" s="126"/>
    </row>
    <row r="118" spans="5:6">
      <c r="E118" s="126"/>
      <c r="F118" s="126"/>
    </row>
    <row r="119" spans="5:6">
      <c r="E119" s="126"/>
      <c r="F119" s="126"/>
    </row>
    <row r="120" spans="5:6">
      <c r="E120" s="126"/>
      <c r="F120" s="126"/>
    </row>
    <row r="121" spans="5:6">
      <c r="E121" s="126"/>
      <c r="F121" s="126"/>
    </row>
    <row r="122" spans="5:6">
      <c r="E122" s="126"/>
      <c r="F122" s="126"/>
    </row>
    <row r="123" spans="5:6">
      <c r="E123" s="126"/>
      <c r="F123" s="126"/>
    </row>
    <row r="124" spans="5:6">
      <c r="E124" s="126"/>
      <c r="F124" s="126"/>
    </row>
    <row r="125" spans="5:6">
      <c r="E125" s="126"/>
      <c r="F125" s="126"/>
    </row>
    <row r="126" spans="5:6">
      <c r="E126" s="126"/>
      <c r="F126" s="126"/>
    </row>
    <row r="127" spans="5:6">
      <c r="E127" s="126"/>
      <c r="F127" s="126"/>
    </row>
    <row r="128" spans="5:6">
      <c r="E128" s="126"/>
      <c r="F128" s="126"/>
    </row>
    <row r="129" spans="5:6">
      <c r="E129" s="126"/>
      <c r="F129" s="126"/>
    </row>
    <row r="130" spans="5:6">
      <c r="E130" s="126"/>
      <c r="F130" s="126"/>
    </row>
    <row r="131" spans="5:6">
      <c r="E131" s="126"/>
      <c r="F131" s="126"/>
    </row>
    <row r="132" spans="5:6">
      <c r="E132" s="126"/>
      <c r="F132" s="126"/>
    </row>
    <row r="133" spans="5:6">
      <c r="E133" s="126"/>
      <c r="F133" s="126"/>
    </row>
    <row r="134" spans="5:6">
      <c r="E134" s="126"/>
      <c r="F134" s="126"/>
    </row>
    <row r="135" spans="5:6">
      <c r="E135" s="126"/>
      <c r="F135" s="126"/>
    </row>
    <row r="136" spans="5:6">
      <c r="E136" s="126"/>
      <c r="F136" s="126"/>
    </row>
    <row r="137" spans="5:6">
      <c r="E137" s="126"/>
      <c r="F137" s="126"/>
    </row>
    <row r="138" spans="5:6">
      <c r="E138" s="126"/>
      <c r="F138" s="126"/>
    </row>
    <row r="139" spans="5:6">
      <c r="E139" s="126"/>
      <c r="F139" s="126"/>
    </row>
    <row r="140" spans="5:6">
      <c r="E140" s="126"/>
      <c r="F140" s="126"/>
    </row>
    <row r="141" spans="5:6">
      <c r="E141" s="126"/>
      <c r="F141" s="126"/>
    </row>
    <row r="142" spans="5:6">
      <c r="E142" s="126"/>
      <c r="F142" s="126"/>
    </row>
    <row r="143" spans="5:6">
      <c r="E143" s="126"/>
      <c r="F143" s="126"/>
    </row>
    <row r="144" spans="5:6">
      <c r="E144" s="126"/>
      <c r="F144" s="126"/>
    </row>
    <row r="145" spans="5:6">
      <c r="E145" s="126"/>
      <c r="F145" s="126"/>
    </row>
    <row r="146" spans="5:6">
      <c r="E146" s="126"/>
      <c r="F146" s="126"/>
    </row>
    <row r="147" spans="5:6">
      <c r="E147" s="126"/>
      <c r="F147" s="126"/>
    </row>
    <row r="148" spans="5:6">
      <c r="E148" s="126"/>
      <c r="F148" s="126"/>
    </row>
    <row r="149" spans="5:6">
      <c r="E149" s="126"/>
      <c r="F149" s="126"/>
    </row>
    <row r="150" spans="5:6">
      <c r="E150" s="126"/>
      <c r="F150" s="126"/>
    </row>
    <row r="151" spans="5:6">
      <c r="E151" s="126"/>
      <c r="F151" s="126"/>
    </row>
    <row r="152" spans="5:6">
      <c r="E152" s="126"/>
      <c r="F152" s="126"/>
    </row>
    <row r="153" spans="5:6">
      <c r="E153" s="126"/>
      <c r="F153" s="126"/>
    </row>
    <row r="154" spans="5:6">
      <c r="E154" s="126"/>
      <c r="F154" s="126"/>
    </row>
    <row r="155" spans="5:6">
      <c r="E155" s="126"/>
      <c r="F155" s="126"/>
    </row>
    <row r="156" spans="5:6">
      <c r="E156" s="126"/>
      <c r="F156" s="126"/>
    </row>
    <row r="157" spans="5:6">
      <c r="E157" s="126"/>
      <c r="F157" s="126"/>
    </row>
    <row r="158" spans="5:6">
      <c r="E158" s="126"/>
      <c r="F158" s="126"/>
    </row>
    <row r="159" spans="5:6">
      <c r="E159" s="126"/>
      <c r="F159" s="126"/>
    </row>
    <row r="160" spans="5:6">
      <c r="E160" s="126"/>
      <c r="F160" s="126"/>
    </row>
    <row r="161" spans="5:6">
      <c r="E161" s="126"/>
      <c r="F161" s="126"/>
    </row>
    <row r="162" spans="5:6">
      <c r="E162" s="126"/>
      <c r="F162" s="126"/>
    </row>
    <row r="163" spans="5:6">
      <c r="E163" s="126"/>
      <c r="F163" s="126"/>
    </row>
    <row r="164" spans="5:6">
      <c r="E164" s="126"/>
      <c r="F164" s="126"/>
    </row>
    <row r="165" spans="5:6">
      <c r="E165" s="126"/>
      <c r="F165" s="126"/>
    </row>
    <row r="166" spans="5:6">
      <c r="E166" s="126"/>
      <c r="F166" s="126"/>
    </row>
    <row r="167" spans="5:6">
      <c r="E167" s="126"/>
      <c r="F167" s="126"/>
    </row>
    <row r="168" spans="5:6">
      <c r="E168" s="126"/>
      <c r="F168" s="126"/>
    </row>
    <row r="169" spans="5:6">
      <c r="E169" s="126"/>
      <c r="F169" s="126"/>
    </row>
    <row r="170" spans="5:6">
      <c r="E170" s="126"/>
      <c r="F170" s="126"/>
    </row>
    <row r="171" spans="5:6">
      <c r="E171" s="126"/>
      <c r="F171" s="126"/>
    </row>
    <row r="172" spans="5:6">
      <c r="E172" s="126"/>
      <c r="F172" s="126"/>
    </row>
    <row r="173" spans="5:6">
      <c r="E173" s="126"/>
      <c r="F173" s="126"/>
    </row>
    <row r="174" spans="5:6">
      <c r="E174" s="126"/>
      <c r="F174" s="126"/>
    </row>
    <row r="175" spans="5:6">
      <c r="E175" s="126"/>
      <c r="F175" s="126"/>
    </row>
    <row r="176" spans="5:6">
      <c r="E176" s="126"/>
      <c r="F176" s="126"/>
    </row>
    <row r="177" spans="5:6">
      <c r="E177" s="126"/>
      <c r="F177" s="126"/>
    </row>
    <row r="178" spans="5:6">
      <c r="E178" s="126"/>
      <c r="F178" s="126"/>
    </row>
    <row r="179" spans="5:6">
      <c r="E179" s="126"/>
      <c r="F179" s="126"/>
    </row>
    <row r="180" spans="5:6">
      <c r="E180" s="126"/>
      <c r="F180" s="126"/>
    </row>
    <row r="181" spans="5:6">
      <c r="E181" s="126"/>
      <c r="F181" s="126"/>
    </row>
    <row r="182" spans="5:6">
      <c r="E182" s="126"/>
      <c r="F182" s="126"/>
    </row>
    <row r="183" spans="5:6">
      <c r="E183" s="126"/>
      <c r="F183" s="126"/>
    </row>
    <row r="184" spans="5:6">
      <c r="E184" s="126"/>
      <c r="F184" s="126"/>
    </row>
    <row r="185" spans="5:6">
      <c r="E185" s="126"/>
      <c r="F185" s="126"/>
    </row>
    <row r="186" spans="5:6">
      <c r="E186" s="126"/>
      <c r="F186" s="126"/>
    </row>
    <row r="187" spans="5:6">
      <c r="E187" s="126"/>
      <c r="F187" s="126"/>
    </row>
    <row r="188" spans="5:6">
      <c r="E188" s="126"/>
      <c r="F188" s="126"/>
    </row>
    <row r="189" spans="5:6">
      <c r="E189" s="126"/>
      <c r="F189" s="126"/>
    </row>
    <row r="190" spans="5:6">
      <c r="E190" s="126"/>
      <c r="F190" s="126"/>
    </row>
    <row r="191" spans="5:6">
      <c r="E191" s="126"/>
      <c r="F191" s="126"/>
    </row>
    <row r="192" spans="5:6">
      <c r="E192" s="126"/>
      <c r="F192" s="126"/>
    </row>
    <row r="193" spans="5:6">
      <c r="E193" s="126"/>
      <c r="F193" s="126"/>
    </row>
    <row r="194" spans="5:6">
      <c r="E194" s="126"/>
      <c r="F194" s="126"/>
    </row>
    <row r="195" spans="5:6">
      <c r="E195" s="126"/>
      <c r="F195" s="126"/>
    </row>
    <row r="196" spans="5:6">
      <c r="E196" s="126"/>
      <c r="F196" s="126"/>
    </row>
    <row r="197" spans="5:6">
      <c r="E197" s="126"/>
      <c r="F197" s="126"/>
    </row>
    <row r="198" spans="5:6">
      <c r="E198" s="126"/>
      <c r="F198" s="126"/>
    </row>
    <row r="199" spans="5:6">
      <c r="E199" s="126"/>
      <c r="F199" s="126"/>
    </row>
    <row r="200" spans="5:6">
      <c r="E200" s="126"/>
      <c r="F200" s="126"/>
    </row>
    <row r="201" spans="5:6">
      <c r="E201" s="126"/>
      <c r="F201" s="126"/>
    </row>
    <row r="202" spans="5:6">
      <c r="E202" s="126"/>
      <c r="F202" s="126"/>
    </row>
    <row r="203" spans="5:6">
      <c r="E203" s="126"/>
      <c r="F203" s="126"/>
    </row>
    <row r="204" spans="5:6">
      <c r="E204" s="126"/>
      <c r="F204" s="126"/>
    </row>
    <row r="205" spans="5:6">
      <c r="E205" s="126"/>
      <c r="F205" s="126"/>
    </row>
    <row r="206" spans="5:6">
      <c r="E206" s="126"/>
      <c r="F206" s="126"/>
    </row>
    <row r="207" spans="5:6">
      <c r="E207" s="126"/>
      <c r="F207" s="126"/>
    </row>
    <row r="208" spans="5:6">
      <c r="E208" s="126"/>
      <c r="F208" s="126"/>
    </row>
    <row r="209" spans="5:6">
      <c r="E209" s="126"/>
      <c r="F209" s="126"/>
    </row>
    <row r="210" spans="5:6">
      <c r="E210" s="126"/>
      <c r="F210" s="126"/>
    </row>
    <row r="211" spans="5:6">
      <c r="E211" s="126"/>
      <c r="F211" s="126"/>
    </row>
    <row r="212" spans="5:6">
      <c r="E212" s="126"/>
      <c r="F212" s="126"/>
    </row>
    <row r="213" spans="5:6">
      <c r="E213" s="126"/>
      <c r="F213" s="126"/>
    </row>
    <row r="214" spans="5:6">
      <c r="E214" s="126"/>
      <c r="F214" s="126"/>
    </row>
    <row r="215" spans="5:6">
      <c r="E215" s="126"/>
      <c r="F215" s="126"/>
    </row>
    <row r="216" spans="5:6">
      <c r="E216" s="126"/>
      <c r="F216" s="126"/>
    </row>
    <row r="217" spans="5:6">
      <c r="E217" s="126"/>
      <c r="F217" s="126"/>
    </row>
    <row r="218" spans="5:6">
      <c r="E218" s="126"/>
      <c r="F218" s="126"/>
    </row>
    <row r="219" spans="5:6">
      <c r="E219" s="126"/>
      <c r="F219" s="126"/>
    </row>
    <row r="220" spans="5:6">
      <c r="E220" s="126"/>
      <c r="F220" s="126"/>
    </row>
    <row r="221" spans="5:6">
      <c r="E221" s="126"/>
      <c r="F221" s="126"/>
    </row>
    <row r="222" spans="5:6">
      <c r="E222" s="126"/>
      <c r="F222" s="126"/>
    </row>
    <row r="223" spans="5:6">
      <c r="E223" s="126"/>
      <c r="F223" s="126"/>
    </row>
    <row r="224" spans="5:6">
      <c r="E224" s="126"/>
      <c r="F224" s="126"/>
    </row>
    <row r="225" spans="5:6">
      <c r="E225" s="126"/>
      <c r="F225" s="126"/>
    </row>
    <row r="226" spans="5:6">
      <c r="E226" s="126"/>
      <c r="F226" s="126"/>
    </row>
    <row r="227" spans="5:6">
      <c r="E227" s="126"/>
      <c r="F227" s="126"/>
    </row>
    <row r="228" spans="5:6">
      <c r="E228" s="126"/>
      <c r="F228" s="126"/>
    </row>
    <row r="229" spans="5:6">
      <c r="E229" s="126"/>
      <c r="F229" s="126"/>
    </row>
    <row r="230" spans="5:6">
      <c r="E230" s="126"/>
      <c r="F230" s="126"/>
    </row>
    <row r="231" spans="5:6">
      <c r="E231" s="126"/>
      <c r="F231" s="126"/>
    </row>
    <row r="232" spans="5:6">
      <c r="E232" s="126"/>
      <c r="F232" s="126"/>
    </row>
    <row r="233" spans="5:6">
      <c r="E233" s="126"/>
      <c r="F233" s="126"/>
    </row>
    <row r="234" spans="5:6">
      <c r="E234" s="126"/>
      <c r="F234" s="126"/>
    </row>
    <row r="235" spans="5:6">
      <c r="E235" s="126"/>
      <c r="F235" s="126"/>
    </row>
    <row r="236" spans="5:6">
      <c r="E236" s="126"/>
      <c r="F236" s="126"/>
    </row>
    <row r="237" spans="5:6">
      <c r="E237" s="126"/>
      <c r="F237" s="126"/>
    </row>
    <row r="238" spans="5:6">
      <c r="E238" s="126"/>
      <c r="F238" s="126"/>
    </row>
    <row r="239" spans="5:6">
      <c r="E239" s="126"/>
      <c r="F239" s="126"/>
    </row>
    <row r="240" spans="5:6">
      <c r="E240" s="126"/>
      <c r="F240" s="126"/>
    </row>
    <row r="241" spans="5:6">
      <c r="E241" s="126"/>
      <c r="F241" s="126"/>
    </row>
    <row r="242" spans="5:6">
      <c r="E242" s="126"/>
      <c r="F242" s="126"/>
    </row>
    <row r="243" spans="5:6">
      <c r="E243" s="126"/>
      <c r="F243" s="126"/>
    </row>
    <row r="244" spans="5:6">
      <c r="E244" s="126"/>
      <c r="F244" s="126"/>
    </row>
    <row r="245" spans="5:6">
      <c r="E245" s="126"/>
      <c r="F245" s="126"/>
    </row>
    <row r="246" spans="5:6">
      <c r="E246" s="126"/>
      <c r="F246" s="126"/>
    </row>
    <row r="247" spans="5:6">
      <c r="E247" s="126"/>
      <c r="F247" s="126"/>
    </row>
    <row r="248" spans="5:6">
      <c r="E248" s="126"/>
      <c r="F248" s="126"/>
    </row>
    <row r="249" spans="5:6">
      <c r="E249" s="126"/>
      <c r="F249" s="126"/>
    </row>
    <row r="250" spans="5:6">
      <c r="E250" s="126"/>
      <c r="F250" s="126"/>
    </row>
    <row r="251" spans="5:6">
      <c r="E251" s="126"/>
      <c r="F251" s="126"/>
    </row>
    <row r="252" spans="5:6">
      <c r="E252" s="126"/>
      <c r="F252" s="126"/>
    </row>
    <row r="253" spans="5:6">
      <c r="E253" s="126"/>
      <c r="F253" s="126"/>
    </row>
    <row r="254" spans="5:6">
      <c r="E254" s="126"/>
      <c r="F254" s="126"/>
    </row>
    <row r="255" spans="5:6">
      <c r="E255" s="126"/>
      <c r="F255" s="126"/>
    </row>
    <row r="256" spans="5:6">
      <c r="E256" s="126"/>
      <c r="F256" s="126"/>
    </row>
    <row r="257" spans="5:6">
      <c r="E257" s="126"/>
      <c r="F257" s="126"/>
    </row>
    <row r="258" spans="5:6">
      <c r="E258" s="126"/>
      <c r="F258" s="126"/>
    </row>
    <row r="259" spans="5:6">
      <c r="E259" s="126"/>
      <c r="F259" s="126"/>
    </row>
    <row r="260" spans="5:6">
      <c r="E260" s="126"/>
      <c r="F260" s="126"/>
    </row>
    <row r="261" spans="5:6">
      <c r="E261" s="126"/>
      <c r="F261" s="126"/>
    </row>
    <row r="262" spans="5:6">
      <c r="E262" s="126"/>
      <c r="F262" s="126"/>
    </row>
    <row r="263" spans="5:6">
      <c r="E263" s="126"/>
      <c r="F263" s="126"/>
    </row>
    <row r="264" spans="5:6">
      <c r="E264" s="126"/>
      <c r="F264" s="126"/>
    </row>
    <row r="265" spans="5:6">
      <c r="E265" s="126"/>
      <c r="F265" s="126"/>
    </row>
    <row r="266" spans="5:6">
      <c r="E266" s="126"/>
      <c r="F266" s="126"/>
    </row>
    <row r="267" spans="5:6">
      <c r="E267" s="126"/>
      <c r="F267" s="126"/>
    </row>
    <row r="268" spans="5:6">
      <c r="E268" s="126"/>
      <c r="F268" s="126"/>
    </row>
    <row r="269" spans="5:6">
      <c r="E269" s="126"/>
      <c r="F269" s="126"/>
    </row>
    <row r="270" spans="5:6">
      <c r="E270" s="126"/>
      <c r="F270" s="126"/>
    </row>
    <row r="271" spans="5:6"/>
    <row r="272" spans="5:6"/>
    <row r="273" spans="5:5"/>
    <row r="274" spans="5:5">
      <c r="E274" s="153"/>
    </row>
    <row r="275" spans="5:5">
      <c r="E275" s="153"/>
    </row>
    <row r="276" spans="5:5">
      <c r="E276" s="153"/>
    </row>
    <row r="277" spans="5:5">
      <c r="E277" s="153"/>
    </row>
    <row r="278" spans="5:5">
      <c r="E278" s="153"/>
    </row>
    <row r="279" spans="5:5">
      <c r="E279" s="153"/>
    </row>
    <row r="280" spans="5:5">
      <c r="E280" s="153"/>
    </row>
    <row r="281" spans="5:5">
      <c r="E281" s="153"/>
    </row>
    <row r="282" spans="5:5">
      <c r="E282" s="153"/>
    </row>
    <row r="283" spans="5:5">
      <c r="E283" s="153"/>
    </row>
    <row r="284" spans="5:5">
      <c r="E284" s="153"/>
    </row>
    <row r="285" spans="5:5"/>
    <row r="286" spans="5:5"/>
    <row r="287" spans="5:5"/>
    <row r="288" spans="5:5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</sheetData>
  <sheetProtection algorithmName="SHA-512" hashValue="Ed263K3/UMSMOkqBZsKaTE+kpdGFiuVdrUSJyNjEGJnPEruguewGkN7sY9oa1LouY7uZgey3AOCyYAvw3OpvhQ==" saltValue="M3S6txTwokSob8veoCqC6g==" spinCount="100000" sheet="1" objects="1" scenarios="1"/>
  <sortState xmlns:xlrd2="http://schemas.microsoft.com/office/spreadsheetml/2017/richdata2" ref="A32:XFD46">
    <sortCondition ref="D32:D46"/>
    <sortCondition ref="B32:B46"/>
  </sortState>
  <phoneticPr fontId="14"/>
  <conditionalFormatting sqref="C93:G93">
    <cfRule type="cellIs" dxfId="10" priority="37" operator="greaterThan">
      <formula>0</formula>
    </cfRule>
  </conditionalFormatting>
  <conditionalFormatting sqref="D53:D87">
    <cfRule type="cellIs" dxfId="9" priority="122" operator="greaterThan">
      <formula>0</formula>
    </cfRule>
  </conditionalFormatting>
  <conditionalFormatting sqref="D90:M90 E13:I46 E47:L47 E48:M48 E53:M87 J92:L92 L88:M88 N92:O92">
    <cfRule type="cellIs" dxfId="8" priority="125" operator="greaterThan">
      <formula>0</formula>
    </cfRule>
  </conditionalFormatting>
  <conditionalFormatting sqref="I88:J88">
    <cfRule type="cellIs" dxfId="7" priority="29" operator="greaterThan">
      <formula>0</formula>
    </cfRule>
  </conditionalFormatting>
  <conditionalFormatting sqref="K13:L46">
    <cfRule type="cellIs" dxfId="6" priority="7" operator="greaterThan">
      <formula>0</formula>
    </cfRule>
  </conditionalFormatting>
  <dataValidations count="1">
    <dataValidation allowBlank="1" showInputMessage="1" showErrorMessage="1" promptTitle="Toelichting" prompt="Hier dienen geen gegevens te worden ingevoerd._x000d_De gegevens worden automatisch ingevoerd nadat de kengetallen, de opbouw uurtarieven en het contractblad volledig zijn ingevuld._x000d_" sqref="F6" xr:uid="{00000000-0002-0000-0300-000000000000}"/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4" orientation="landscape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W66"/>
  <sheetViews>
    <sheetView showGridLines="0" showRowColHeaders="0" showZeros="0" tabSelected="1" showOutlineSymbols="0" topLeftCell="A30" zoomScale="69" zoomScaleNormal="100" zoomScaleSheetLayoutView="75" workbookViewId="0">
      <selection activeCell="F56" sqref="F56"/>
    </sheetView>
  </sheetViews>
  <sheetFormatPr defaultColWidth="10.81640625" defaultRowHeight="12.5"/>
  <cols>
    <col min="1" max="1" width="6.54296875" style="180" customWidth="1"/>
    <col min="2" max="2" width="4.54296875" style="180" customWidth="1"/>
    <col min="3" max="3" width="21.453125" style="207" bestFit="1" customWidth="1"/>
    <col min="4" max="4" width="7.54296875" style="207" hidden="1" customWidth="1"/>
    <col min="5" max="5" width="12.54296875" style="181" customWidth="1"/>
    <col min="6" max="6" width="52.54296875" style="213" customWidth="1"/>
    <col min="7" max="7" width="24.453125" style="214" bestFit="1" customWidth="1"/>
    <col min="8" max="9" width="15.81640625" style="184" customWidth="1"/>
    <col min="10" max="10" width="14" style="185" bestFit="1" customWidth="1"/>
    <col min="11" max="11" width="12.81640625" style="222" customWidth="1"/>
    <col min="12" max="12" width="13.81640625" style="217" bestFit="1" customWidth="1"/>
    <col min="13" max="13" width="18.81640625" style="214" customWidth="1"/>
    <col min="14" max="14" width="23.81640625" style="219" customWidth="1"/>
    <col min="15" max="15" width="10.1796875" style="229" customWidth="1"/>
    <col min="16" max="16" width="2" style="229" customWidth="1"/>
    <col min="17" max="17" width="26.1796875" style="180" customWidth="1"/>
    <col min="18" max="31" width="10.81640625" style="180" customWidth="1"/>
    <col min="32" max="16384" width="10.81640625" style="180"/>
  </cols>
  <sheetData>
    <row r="1" spans="1:23" s="1" customFormat="1" ht="9" customHeight="1" thickBot="1">
      <c r="A1" s="4"/>
      <c r="B1" s="21"/>
      <c r="C1" s="21"/>
      <c r="D1" s="40"/>
      <c r="E1" s="21"/>
      <c r="F1" s="21"/>
      <c r="G1" s="21"/>
      <c r="H1" s="21"/>
      <c r="I1" s="21"/>
      <c r="J1" s="21"/>
      <c r="K1" s="21"/>
      <c r="L1" s="87"/>
      <c r="M1" s="87"/>
      <c r="N1" s="87"/>
      <c r="O1" s="88"/>
    </row>
    <row r="2" spans="1:23" s="1" customFormat="1" ht="8.15" customHeight="1">
      <c r="A2" s="4"/>
      <c r="B2" s="21"/>
      <c r="C2" s="90"/>
      <c r="D2" s="89"/>
      <c r="E2" s="90"/>
      <c r="F2" s="90"/>
      <c r="G2" s="90"/>
      <c r="H2" s="90"/>
      <c r="I2" s="90"/>
      <c r="J2" s="90"/>
      <c r="K2" s="90"/>
      <c r="L2" s="87"/>
      <c r="M2" s="87"/>
      <c r="N2" s="87"/>
      <c r="O2" s="88"/>
    </row>
    <row r="3" spans="1:23">
      <c r="C3" s="181"/>
      <c r="D3" s="181"/>
      <c r="F3" s="182"/>
      <c r="G3" s="183"/>
      <c r="K3" s="186"/>
      <c r="L3" s="187"/>
      <c r="M3" s="183"/>
      <c r="N3" s="188"/>
      <c r="O3" s="189"/>
      <c r="P3" s="189"/>
    </row>
    <row r="4" spans="1:23" ht="15.5">
      <c r="C4" s="275" t="s">
        <v>59</v>
      </c>
      <c r="D4" s="180"/>
      <c r="E4" s="180"/>
      <c r="F4" s="242" t="s">
        <v>105</v>
      </c>
      <c r="G4" s="191"/>
      <c r="K4" s="186"/>
      <c r="L4" s="187"/>
      <c r="M4" s="183"/>
      <c r="N4" s="188"/>
      <c r="O4" s="189"/>
      <c r="P4" s="189"/>
    </row>
    <row r="5" spans="1:23" s="192" customFormat="1" ht="15.5">
      <c r="C5" s="275" t="s">
        <v>61</v>
      </c>
      <c r="F5" s="29" t="str">
        <f>Voorblad!$E$17</f>
        <v>Stichting Kolom</v>
      </c>
      <c r="G5" s="191"/>
      <c r="H5" s="184"/>
      <c r="I5" s="184"/>
      <c r="J5" s="185"/>
      <c r="K5" s="193"/>
      <c r="L5" s="194"/>
      <c r="M5" s="191"/>
      <c r="N5" s="195"/>
      <c r="O5" s="196"/>
      <c r="P5" s="196"/>
      <c r="Q5" s="197"/>
    </row>
    <row r="6" spans="1:23" s="192" customFormat="1" ht="15.5">
      <c r="C6" s="275" t="s">
        <v>62</v>
      </c>
      <c r="F6" s="29" t="str">
        <f>Voorblad!$E$18</f>
        <v>Regio Amsterdam - Haarlem</v>
      </c>
      <c r="G6" s="191"/>
      <c r="H6" s="184"/>
      <c r="I6" s="184"/>
      <c r="J6" s="185"/>
      <c r="K6" s="193"/>
      <c r="L6" s="194"/>
      <c r="M6" s="191"/>
      <c r="N6" s="195"/>
      <c r="O6" s="196"/>
      <c r="P6" s="196"/>
      <c r="Q6" s="197"/>
    </row>
    <row r="7" spans="1:23" s="192" customFormat="1" ht="15.5">
      <c r="C7" s="275" t="s">
        <v>63</v>
      </c>
      <c r="F7" s="31" t="str">
        <f>Voorblad!$E$25</f>
        <v>2009-46–2022</v>
      </c>
      <c r="G7" s="198"/>
      <c r="H7" s="199"/>
      <c r="I7" s="200"/>
      <c r="J7" s="201"/>
      <c r="K7" s="193"/>
      <c r="L7" s="194"/>
      <c r="M7" s="191"/>
      <c r="N7" s="195"/>
      <c r="O7" s="196"/>
      <c r="P7" s="196"/>
      <c r="Q7" s="197"/>
    </row>
    <row r="8" spans="1:23" s="192" customFormat="1" ht="15.5">
      <c r="C8" s="275" t="s">
        <v>10</v>
      </c>
      <c r="F8" s="32" t="str">
        <f ca="1">Voorblad!$E$27</f>
        <v xml:space="preserve">Bijlage E1 - Calculatiemodel  St Kolom Perceel 1 </v>
      </c>
      <c r="G8" s="198"/>
      <c r="H8" s="202"/>
      <c r="I8" s="200"/>
      <c r="J8" s="201"/>
      <c r="K8" s="201"/>
      <c r="L8" s="203"/>
      <c r="M8" s="191"/>
      <c r="N8" s="204"/>
      <c r="O8" s="196"/>
      <c r="P8" s="196"/>
      <c r="Q8" s="197"/>
    </row>
    <row r="9" spans="1:23" s="192" customFormat="1" ht="15.5">
      <c r="C9" s="275" t="s">
        <v>64</v>
      </c>
      <c r="F9" s="79" t="str">
        <f>Voorblad!$E$20</f>
        <v>[Naam organisatie Inschrijver]</v>
      </c>
      <c r="G9" s="197"/>
      <c r="H9" s="205"/>
      <c r="I9" s="206"/>
      <c r="J9" s="201"/>
      <c r="K9" s="201"/>
      <c r="L9" s="203"/>
      <c r="M9" s="191"/>
      <c r="N9" s="204"/>
      <c r="O9" s="196"/>
      <c r="P9" s="196"/>
    </row>
    <row r="10" spans="1:23" s="192" customFormat="1" ht="15.5">
      <c r="C10" s="275" t="s">
        <v>65</v>
      </c>
      <c r="F10" s="36">
        <f>Voorblad!$E$23</f>
        <v>45017</v>
      </c>
      <c r="G10" s="197"/>
      <c r="H10" s="205"/>
      <c r="I10" s="206"/>
      <c r="J10" s="201"/>
      <c r="K10" s="201"/>
      <c r="L10" s="203"/>
      <c r="M10" s="191"/>
      <c r="N10" s="204"/>
      <c r="O10" s="196"/>
      <c r="P10" s="196"/>
    </row>
    <row r="11" spans="1:23" ht="15.5">
      <c r="B11" s="192"/>
      <c r="E11" s="208"/>
      <c r="F11" s="209"/>
      <c r="G11" s="210"/>
      <c r="I11" s="209"/>
      <c r="J11" s="209"/>
      <c r="K11" s="184"/>
      <c r="L11" s="209"/>
      <c r="M11" s="184"/>
      <c r="N11" s="211"/>
      <c r="O11" s="184"/>
      <c r="P11" s="209"/>
      <c r="R11" s="192"/>
      <c r="S11" s="192"/>
      <c r="T11" s="192"/>
      <c r="U11" s="192"/>
      <c r="V11" s="192"/>
      <c r="W11" s="192"/>
    </row>
    <row r="12" spans="1:23" s="243" customFormat="1" ht="26">
      <c r="A12" s="180"/>
      <c r="B12" s="192"/>
      <c r="C12" s="244" t="s">
        <v>106</v>
      </c>
      <c r="D12" s="245"/>
      <c r="E12" s="167" t="s">
        <v>107</v>
      </c>
      <c r="F12" s="246" t="s">
        <v>108</v>
      </c>
      <c r="G12" s="167" t="s">
        <v>109</v>
      </c>
      <c r="H12" s="247" t="s">
        <v>110</v>
      </c>
      <c r="I12" s="247" t="s">
        <v>111</v>
      </c>
      <c r="J12" s="248" t="s">
        <v>112</v>
      </c>
      <c r="K12" s="249" t="s">
        <v>113</v>
      </c>
      <c r="L12" s="249" t="s">
        <v>114</v>
      </c>
      <c r="M12" s="250" t="s">
        <v>115</v>
      </c>
      <c r="N12" s="250" t="s">
        <v>116</v>
      </c>
      <c r="O12" s="250" t="s">
        <v>117</v>
      </c>
      <c r="P12" s="251"/>
      <c r="R12" s="192"/>
      <c r="S12" s="192"/>
      <c r="T12" s="192"/>
      <c r="U12" s="252"/>
      <c r="V12" s="252"/>
      <c r="W12" s="252"/>
    </row>
    <row r="13" spans="1:23" ht="16" customHeight="1">
      <c r="B13" s="192"/>
      <c r="C13" s="234">
        <v>0</v>
      </c>
      <c r="D13" s="234">
        <v>0</v>
      </c>
      <c r="E13" s="234">
        <v>0</v>
      </c>
      <c r="F13" s="236"/>
      <c r="G13" s="235"/>
      <c r="H13" s="237"/>
      <c r="I13" s="237"/>
      <c r="J13" s="238"/>
      <c r="K13" s="238"/>
      <c r="L13" s="239"/>
      <c r="M13" s="240"/>
      <c r="N13" s="241"/>
      <c r="O13" s="263"/>
      <c r="P13" s="180"/>
      <c r="R13" s="192"/>
      <c r="S13" s="192"/>
      <c r="T13" s="192"/>
      <c r="U13" s="192"/>
      <c r="V13" s="192"/>
      <c r="W13" s="192"/>
    </row>
    <row r="14" spans="1:23" ht="15.5">
      <c r="B14" s="192"/>
      <c r="C14" s="538">
        <v>1040</v>
      </c>
      <c r="D14" s="539"/>
      <c r="E14" s="540">
        <v>40</v>
      </c>
      <c r="F14" s="541" t="s">
        <v>118</v>
      </c>
      <c r="G14" s="542" t="s">
        <v>119</v>
      </c>
      <c r="H14" s="520">
        <v>8.5055467924432249E-2</v>
      </c>
      <c r="I14" s="520">
        <v>4.2957307032541532E-2</v>
      </c>
      <c r="J14" s="445">
        <f t="shared" ref="J14:J45" si="0">IF(H14=0,0,E14/SUM(H14+I14))</f>
        <v>312.46881425267401</v>
      </c>
      <c r="K14" s="446">
        <f>SUMIF('1.4-Basis ruimtestaat'!M:M,C14,'1.4-Basis ruimtestaat'!K:K)</f>
        <v>0</v>
      </c>
      <c r="L14" s="447"/>
      <c r="M14" s="448" t="str">
        <f t="shared" ref="M14:M44" si="1">IF(K14=0,"",K14/$L$51)</f>
        <v/>
      </c>
      <c r="N14" s="449"/>
      <c r="O14" s="263" t="s">
        <v>120</v>
      </c>
      <c r="P14" s="180"/>
      <c r="R14" s="192"/>
      <c r="S14" s="192"/>
      <c r="T14" s="192"/>
      <c r="U14" s="192"/>
      <c r="V14" s="192"/>
      <c r="W14" s="192"/>
    </row>
    <row r="15" spans="1:23" ht="15.5">
      <c r="B15" s="192"/>
      <c r="C15" s="538">
        <v>1052</v>
      </c>
      <c r="D15" s="539"/>
      <c r="E15" s="540">
        <v>52</v>
      </c>
      <c r="F15" s="541" t="s">
        <v>118</v>
      </c>
      <c r="G15" s="542" t="s">
        <v>121</v>
      </c>
      <c r="H15" s="520">
        <v>9.2143423584801598E-2</v>
      </c>
      <c r="I15" s="520">
        <v>4.2957307032541532E-2</v>
      </c>
      <c r="J15" s="445">
        <f t="shared" ref="J15" si="2">IF(H15=0,0,E15/SUM(H15+I15))</f>
        <v>384.89799250075015</v>
      </c>
      <c r="K15" s="446">
        <f>SUMIF('1.4-Basis ruimtestaat'!M:M,C15,'1.4-Basis ruimtestaat'!K:K)</f>
        <v>14.39</v>
      </c>
      <c r="L15" s="447"/>
      <c r="M15" s="448">
        <f t="shared" si="1"/>
        <v>1.2187309753257537E-3</v>
      </c>
      <c r="N15" s="449"/>
      <c r="O15" s="263" t="s">
        <v>120</v>
      </c>
      <c r="P15" s="180"/>
      <c r="R15" s="192"/>
      <c r="S15" s="192"/>
      <c r="T15" s="192"/>
      <c r="U15" s="192"/>
      <c r="V15" s="192"/>
      <c r="W15" s="192"/>
    </row>
    <row r="16" spans="1:23" ht="15.5">
      <c r="B16" s="192"/>
      <c r="C16" s="538">
        <v>1080</v>
      </c>
      <c r="D16" s="539"/>
      <c r="E16" s="540">
        <v>80</v>
      </c>
      <c r="F16" s="541" t="s">
        <v>118</v>
      </c>
      <c r="G16" s="542" t="s">
        <v>122</v>
      </c>
      <c r="H16" s="520">
        <v>0.20923076923076925</v>
      </c>
      <c r="I16" s="520">
        <v>3.6923076923076927E-2</v>
      </c>
      <c r="J16" s="445">
        <f t="shared" si="0"/>
        <v>325</v>
      </c>
      <c r="K16" s="446">
        <f>SUMIF('1.4-Basis ruimtestaat'!M:M,C16,'1.4-Basis ruimtestaat'!K:K)</f>
        <v>667.34</v>
      </c>
      <c r="L16" s="447"/>
      <c r="M16" s="448">
        <f t="shared" si="1"/>
        <v>5.6518966579144438E-2</v>
      </c>
      <c r="N16" s="449"/>
      <c r="O16" s="263" t="s">
        <v>120</v>
      </c>
      <c r="P16" s="180"/>
      <c r="R16" s="192"/>
      <c r="S16" s="192"/>
      <c r="T16" s="192"/>
      <c r="U16" s="192"/>
      <c r="V16" s="192"/>
      <c r="W16" s="192"/>
    </row>
    <row r="17" spans="1:23" ht="15.5">
      <c r="B17" s="192"/>
      <c r="C17" s="538">
        <v>1200</v>
      </c>
      <c r="D17" s="539"/>
      <c r="E17" s="540">
        <v>200</v>
      </c>
      <c r="F17" s="541" t="s">
        <v>118</v>
      </c>
      <c r="G17" s="542" t="s">
        <v>123</v>
      </c>
      <c r="H17" s="520">
        <v>0.41975308641975306</v>
      </c>
      <c r="I17" s="520">
        <v>7.407407407407407E-2</v>
      </c>
      <c r="J17" s="445">
        <f t="shared" si="0"/>
        <v>405</v>
      </c>
      <c r="K17" s="446">
        <f>SUMIF('1.4-Basis ruimtestaat'!M:M,C17,'1.4-Basis ruimtestaat'!K:K)</f>
        <v>173.21</v>
      </c>
      <c r="L17" s="447"/>
      <c r="M17" s="448">
        <f t="shared" si="1"/>
        <v>1.4669658946224726E-2</v>
      </c>
      <c r="N17" s="449"/>
      <c r="O17" s="263" t="s">
        <v>120</v>
      </c>
      <c r="P17" s="180"/>
      <c r="R17" s="192"/>
      <c r="S17" s="192"/>
      <c r="T17" s="192"/>
      <c r="U17" s="192"/>
      <c r="V17" s="192"/>
      <c r="W17" s="192"/>
    </row>
    <row r="18" spans="1:23" s="212" customFormat="1" ht="15.5">
      <c r="A18" s="180"/>
      <c r="B18" s="192"/>
      <c r="C18" s="538">
        <v>1260</v>
      </c>
      <c r="D18" s="539"/>
      <c r="E18" s="540">
        <v>260</v>
      </c>
      <c r="F18" s="541" t="s">
        <v>118</v>
      </c>
      <c r="G18" s="542" t="s">
        <v>124</v>
      </c>
      <c r="H18" s="520">
        <v>0.49293509819841408</v>
      </c>
      <c r="I18" s="520">
        <v>4.2957307032541532E-2</v>
      </c>
      <c r="J18" s="445">
        <f t="shared" si="0"/>
        <v>485.17201860315004</v>
      </c>
      <c r="K18" s="446">
        <f>SUMIF('1.4-Basis ruimtestaat'!M:M,C18,'1.4-Basis ruimtestaat'!K:K)</f>
        <v>0</v>
      </c>
      <c r="L18" s="447"/>
      <c r="M18" s="448" t="str">
        <f t="shared" si="1"/>
        <v/>
      </c>
      <c r="N18" s="449"/>
      <c r="O18" s="263" t="s">
        <v>120</v>
      </c>
      <c r="R18" s="192"/>
      <c r="S18" s="192"/>
      <c r="T18" s="192"/>
      <c r="U18" s="192"/>
      <c r="V18" s="192"/>
      <c r="W18" s="192"/>
    </row>
    <row r="19" spans="1:23" s="212" customFormat="1" ht="15.5">
      <c r="A19" s="180"/>
      <c r="B19" s="192"/>
      <c r="C19" s="444">
        <v>2200</v>
      </c>
      <c r="D19" s="529"/>
      <c r="E19" s="530">
        <v>200</v>
      </c>
      <c r="F19" s="512" t="s">
        <v>125</v>
      </c>
      <c r="G19" s="513" t="s">
        <v>123</v>
      </c>
      <c r="H19" s="520">
        <v>0.38252459119453652</v>
      </c>
      <c r="I19" s="520">
        <v>0.10943885363052247</v>
      </c>
      <c r="J19" s="445">
        <f t="shared" ref="J19" si="3">IF(H19=0,0,E19/SUM(H19+I19))</f>
        <v>406.53427018570358</v>
      </c>
      <c r="K19" s="446">
        <f>SUMIF('1.4-Basis ruimtestaat'!M:M,C19,'1.4-Basis ruimtestaat'!K:K)</f>
        <v>908.18680000000006</v>
      </c>
      <c r="L19" s="447"/>
      <c r="M19" s="448">
        <f t="shared" si="1"/>
        <v>7.6916982942458315E-2</v>
      </c>
      <c r="N19" s="449"/>
      <c r="O19" s="263" t="s">
        <v>120</v>
      </c>
      <c r="R19" s="192"/>
      <c r="S19" s="192"/>
      <c r="T19" s="192"/>
      <c r="U19" s="192"/>
      <c r="V19" s="192"/>
      <c r="W19" s="192"/>
    </row>
    <row r="20" spans="1:23" s="212" customFormat="1" ht="15.5">
      <c r="A20" s="180"/>
      <c r="B20" s="192"/>
      <c r="C20" s="444">
        <v>2260</v>
      </c>
      <c r="D20" s="529"/>
      <c r="E20" s="530">
        <v>260</v>
      </c>
      <c r="F20" s="512" t="s">
        <v>125</v>
      </c>
      <c r="G20" s="513" t="s">
        <v>124</v>
      </c>
      <c r="H20" s="520">
        <v>0.48771885377303409</v>
      </c>
      <c r="I20" s="520">
        <v>0.10943885363052247</v>
      </c>
      <c r="J20" s="445">
        <f t="shared" si="0"/>
        <v>435.39587076667027</v>
      </c>
      <c r="K20" s="446">
        <f>SUMIF('1.4-Basis ruimtestaat'!M:M,C20,'1.4-Basis ruimtestaat'!K:K)</f>
        <v>0</v>
      </c>
      <c r="L20" s="447"/>
      <c r="M20" s="448" t="str">
        <f t="shared" si="1"/>
        <v/>
      </c>
      <c r="N20" s="449"/>
      <c r="O20" s="263" t="s">
        <v>120</v>
      </c>
      <c r="R20" s="192"/>
      <c r="S20" s="192"/>
      <c r="T20" s="192"/>
      <c r="U20" s="192"/>
      <c r="V20" s="192"/>
      <c r="W20" s="192"/>
    </row>
    <row r="21" spans="1:23" ht="15.5">
      <c r="B21" s="192"/>
      <c r="C21" s="538">
        <v>3052</v>
      </c>
      <c r="D21" s="539"/>
      <c r="E21" s="540">
        <v>52</v>
      </c>
      <c r="F21" s="541" t="s">
        <v>126</v>
      </c>
      <c r="G21" s="542" t="s">
        <v>121</v>
      </c>
      <c r="H21" s="520">
        <v>0.13909985134346783</v>
      </c>
      <c r="I21" s="520">
        <v>0.11353002572885977</v>
      </c>
      <c r="J21" s="445">
        <f>IF(H21=0,0,E21/SUM(H21+I21))</f>
        <v>205.83471995718253</v>
      </c>
      <c r="K21" s="446">
        <f>SUMIF('1.4-Basis ruimtestaat'!M:M,C21,'1.4-Basis ruimtestaat'!K:K)</f>
        <v>0</v>
      </c>
      <c r="L21" s="447"/>
      <c r="M21" s="448" t="str">
        <f t="shared" si="1"/>
        <v/>
      </c>
      <c r="N21" s="449"/>
      <c r="O21" s="263" t="s">
        <v>120</v>
      </c>
      <c r="P21" s="180"/>
      <c r="R21" s="192"/>
      <c r="S21" s="192"/>
      <c r="T21" s="192"/>
      <c r="U21" s="192"/>
      <c r="V21" s="192"/>
      <c r="W21" s="192"/>
    </row>
    <row r="22" spans="1:23" ht="15.5">
      <c r="B22" s="192"/>
      <c r="C22" s="538">
        <v>3200</v>
      </c>
      <c r="D22" s="539"/>
      <c r="E22" s="540">
        <v>200</v>
      </c>
      <c r="F22" s="541" t="s">
        <v>126</v>
      </c>
      <c r="G22" s="542" t="s">
        <v>123</v>
      </c>
      <c r="H22" s="520">
        <v>0.37638783304703055</v>
      </c>
      <c r="I22" s="520">
        <v>0.11353002572885977</v>
      </c>
      <c r="J22" s="445">
        <f>IF(H22=0,0,E22/SUM(H22+I22))</f>
        <v>408.23169928877542</v>
      </c>
      <c r="K22" s="446">
        <f>SUMIF('1.4-Basis ruimtestaat'!M:M,C22,'1.4-Basis ruimtestaat'!K:K)</f>
        <v>1988.78</v>
      </c>
      <c r="L22" s="447"/>
      <c r="M22" s="448">
        <f t="shared" si="1"/>
        <v>0.16843556560864156</v>
      </c>
      <c r="N22" s="449"/>
      <c r="O22" s="263" t="s">
        <v>120</v>
      </c>
      <c r="P22" s="180"/>
      <c r="R22" s="192"/>
      <c r="S22" s="192"/>
      <c r="T22" s="192"/>
      <c r="U22" s="192"/>
      <c r="V22" s="192"/>
      <c r="W22" s="192"/>
    </row>
    <row r="23" spans="1:23" ht="15.5">
      <c r="B23" s="192"/>
      <c r="C23" s="538">
        <v>3260</v>
      </c>
      <c r="D23" s="539"/>
      <c r="E23" s="540">
        <v>260</v>
      </c>
      <c r="F23" s="541" t="s">
        <v>126</v>
      </c>
      <c r="G23" s="542" t="s">
        <v>124</v>
      </c>
      <c r="H23" s="520">
        <v>0.47989448713496397</v>
      </c>
      <c r="I23" s="520">
        <v>0.11353002572885977</v>
      </c>
      <c r="J23" s="445">
        <f>IF(H23=0,0,E23/SUM(H23+I23))</f>
        <v>438.13491752347545</v>
      </c>
      <c r="K23" s="446">
        <f>SUMIF('1.4-Basis ruimtestaat'!M:M,C23,'1.4-Basis ruimtestaat'!K:K)</f>
        <v>64.55</v>
      </c>
      <c r="L23" s="447"/>
      <c r="M23" s="448">
        <f t="shared" si="1"/>
        <v>5.4669273424098261E-3</v>
      </c>
      <c r="N23" s="449"/>
      <c r="O23" s="263" t="s">
        <v>120</v>
      </c>
      <c r="P23" s="180"/>
      <c r="R23" s="192"/>
      <c r="S23" s="192"/>
      <c r="T23" s="192"/>
      <c r="U23" s="192"/>
      <c r="V23" s="192"/>
      <c r="W23" s="192"/>
    </row>
    <row r="24" spans="1:23" ht="15.5">
      <c r="B24" s="192"/>
      <c r="C24" s="444">
        <v>4200</v>
      </c>
      <c r="D24" s="529"/>
      <c r="E24" s="530">
        <v>200</v>
      </c>
      <c r="F24" s="512" t="s">
        <v>127</v>
      </c>
      <c r="G24" s="513" t="s">
        <v>123</v>
      </c>
      <c r="H24" s="520">
        <v>2.6801198171212359</v>
      </c>
      <c r="I24" s="520">
        <v>0.4729623206684534</v>
      </c>
      <c r="J24" s="445">
        <f t="shared" ref="J24" si="4">IF(H24=0,0,E24/SUM(H24+I24))</f>
        <v>63.43</v>
      </c>
      <c r="K24" s="446">
        <f>SUMIF('1.4-Basis ruimtestaat'!M:M,C24,'1.4-Basis ruimtestaat'!K:K)</f>
        <v>447.05220000000003</v>
      </c>
      <c r="L24" s="447"/>
      <c r="M24" s="448">
        <f t="shared" si="1"/>
        <v>3.7862151753128834E-2</v>
      </c>
      <c r="N24" s="449"/>
      <c r="O24" s="263" t="s">
        <v>128</v>
      </c>
      <c r="P24" s="180"/>
      <c r="R24" s="192"/>
      <c r="S24" s="192"/>
      <c r="T24" s="192"/>
      <c r="U24" s="192"/>
      <c r="V24" s="192"/>
      <c r="W24" s="192"/>
    </row>
    <row r="25" spans="1:23" ht="15.5">
      <c r="B25" s="192"/>
      <c r="C25" s="444">
        <v>4260</v>
      </c>
      <c r="D25" s="529"/>
      <c r="E25" s="530">
        <v>260</v>
      </c>
      <c r="F25" s="512" t="s">
        <v>127</v>
      </c>
      <c r="G25" s="513" t="s">
        <v>124</v>
      </c>
      <c r="H25" s="520">
        <v>2.3139745916515424</v>
      </c>
      <c r="I25" s="520">
        <v>0.4083484573502722</v>
      </c>
      <c r="J25" s="445">
        <f t="shared" si="0"/>
        <v>95.506666666666689</v>
      </c>
      <c r="K25" s="446">
        <f>SUMIF('1.4-Basis ruimtestaat'!M:M,C25,'1.4-Basis ruimtestaat'!K:K)</f>
        <v>13.889999999999999</v>
      </c>
      <c r="L25" s="447"/>
      <c r="M25" s="448">
        <f t="shared" si="1"/>
        <v>1.1763845203109601E-3</v>
      </c>
      <c r="N25" s="449"/>
      <c r="O25" s="263" t="s">
        <v>128</v>
      </c>
      <c r="P25" s="180"/>
      <c r="R25" s="192"/>
      <c r="S25" s="192"/>
      <c r="T25" s="192"/>
      <c r="U25" s="192"/>
      <c r="V25" s="192"/>
      <c r="W25" s="192"/>
    </row>
    <row r="26" spans="1:23" ht="15.5">
      <c r="B26" s="192"/>
      <c r="C26" s="538">
        <v>5200</v>
      </c>
      <c r="D26" s="539"/>
      <c r="E26" s="540">
        <v>200</v>
      </c>
      <c r="F26" s="541" t="s">
        <v>129</v>
      </c>
      <c r="G26" s="542" t="s">
        <v>123</v>
      </c>
      <c r="H26" s="520">
        <v>0.5134420983413297</v>
      </c>
      <c r="I26" s="520">
        <v>0.10596988062214066</v>
      </c>
      <c r="J26" s="445">
        <f t="shared" si="0"/>
        <v>322.88687786549082</v>
      </c>
      <c r="K26" s="446">
        <f>SUMIF('1.4-Basis ruimtestaat'!M:M,C26,'1.4-Basis ruimtestaat'!K:K)</f>
        <v>48.304999999999993</v>
      </c>
      <c r="L26" s="447"/>
      <c r="M26" s="448">
        <f t="shared" si="1"/>
        <v>4.0910910189791887E-3</v>
      </c>
      <c r="N26" s="449"/>
      <c r="O26" s="263" t="s">
        <v>120</v>
      </c>
      <c r="P26" s="180"/>
      <c r="R26" s="192"/>
      <c r="S26" s="192"/>
      <c r="T26" s="192"/>
      <c r="U26" s="192"/>
      <c r="V26" s="192"/>
      <c r="W26" s="192"/>
    </row>
    <row r="27" spans="1:23" ht="15.5">
      <c r="B27" s="192"/>
      <c r="C27" s="538">
        <v>5260</v>
      </c>
      <c r="D27" s="539"/>
      <c r="E27" s="540">
        <v>260</v>
      </c>
      <c r="F27" s="541" t="s">
        <v>129</v>
      </c>
      <c r="G27" s="542" t="s">
        <v>124</v>
      </c>
      <c r="H27" s="520">
        <v>0.66747472784372863</v>
      </c>
      <c r="I27" s="520">
        <v>0.10596988062214066</v>
      </c>
      <c r="J27" s="445">
        <f t="shared" si="0"/>
        <v>336.15852661473861</v>
      </c>
      <c r="K27" s="446">
        <f>SUMIF('1.4-Basis ruimtestaat'!M:M,C27,'1.4-Basis ruimtestaat'!K:K)</f>
        <v>5.42</v>
      </c>
      <c r="L27" s="447"/>
      <c r="M27" s="448">
        <f t="shared" si="1"/>
        <v>4.5903557236036028E-4</v>
      </c>
      <c r="N27" s="449"/>
      <c r="O27" s="263" t="s">
        <v>120</v>
      </c>
      <c r="P27" s="180"/>
      <c r="R27" s="192"/>
      <c r="S27" s="192"/>
      <c r="T27" s="192"/>
      <c r="U27" s="192"/>
      <c r="V27" s="192"/>
      <c r="W27" s="192"/>
    </row>
    <row r="28" spans="1:23" ht="15.5">
      <c r="B28" s="192"/>
      <c r="C28" s="444">
        <v>6040</v>
      </c>
      <c r="D28" s="529"/>
      <c r="E28" s="530">
        <v>40</v>
      </c>
      <c r="F28" s="512" t="s">
        <v>130</v>
      </c>
      <c r="G28" s="513" t="s">
        <v>119</v>
      </c>
      <c r="H28" s="520">
        <v>8.8164758719168568E-2</v>
      </c>
      <c r="I28" s="520">
        <v>0.1196667838763657</v>
      </c>
      <c r="J28" s="445">
        <f t="shared" ref="J28" si="5">IF(H28=0,0,E28/SUM(H28+I28))</f>
        <v>192.46356688909785</v>
      </c>
      <c r="K28" s="446">
        <f>SUMIF('1.4-Basis ruimtestaat'!M:M,C28,'1.4-Basis ruimtestaat'!K:K)</f>
        <v>0</v>
      </c>
      <c r="L28" s="447"/>
      <c r="M28" s="448" t="str">
        <f t="shared" si="1"/>
        <v/>
      </c>
      <c r="N28" s="449"/>
      <c r="O28" s="263" t="s">
        <v>131</v>
      </c>
      <c r="P28" s="180"/>
      <c r="R28" s="192"/>
      <c r="S28" s="192"/>
      <c r="T28" s="192"/>
      <c r="U28" s="192"/>
      <c r="V28" s="192"/>
      <c r="W28" s="192"/>
    </row>
    <row r="29" spans="1:23" ht="15.5">
      <c r="B29" s="192"/>
      <c r="C29" s="444">
        <v>6200</v>
      </c>
      <c r="D29" s="529"/>
      <c r="E29" s="530">
        <v>200</v>
      </c>
      <c r="F29" s="512" t="s">
        <v>130</v>
      </c>
      <c r="G29" s="513" t="s">
        <v>123</v>
      </c>
      <c r="H29" s="520">
        <v>0.41878260391605066</v>
      </c>
      <c r="I29" s="520">
        <v>0.1196667838763657</v>
      </c>
      <c r="J29" s="445">
        <f t="shared" ref="J29" si="6">IF(H29=0,0,E29/SUM(H29+I29))</f>
        <v>371.4369530996741</v>
      </c>
      <c r="K29" s="446">
        <f>SUMIF('1.4-Basis ruimtestaat'!M:M,C29,'1.4-Basis ruimtestaat'!K:K)</f>
        <v>38.010000000000005</v>
      </c>
      <c r="L29" s="447"/>
      <c r="M29" s="448">
        <f t="shared" si="1"/>
        <v>3.2191775102245936E-3</v>
      </c>
      <c r="N29" s="449"/>
      <c r="O29" s="263" t="s">
        <v>131</v>
      </c>
      <c r="P29" s="180"/>
      <c r="R29" s="192"/>
      <c r="S29" s="192"/>
      <c r="T29" s="192"/>
      <c r="U29" s="192"/>
      <c r="V29" s="192"/>
      <c r="W29" s="192"/>
    </row>
    <row r="30" spans="1:23" ht="15.5">
      <c r="B30" s="192"/>
      <c r="C30" s="538">
        <v>7040</v>
      </c>
      <c r="D30" s="539"/>
      <c r="E30" s="540">
        <v>40</v>
      </c>
      <c r="F30" s="541" t="s">
        <v>132</v>
      </c>
      <c r="G30" s="542" t="s">
        <v>119</v>
      </c>
      <c r="H30" s="520">
        <v>0.12553846153846154</v>
      </c>
      <c r="I30" s="520">
        <v>9.2307692307692313E-2</v>
      </c>
      <c r="J30" s="445">
        <f t="shared" si="0"/>
        <v>183.61581920903953</v>
      </c>
      <c r="K30" s="446">
        <f>SUMIF('1.4-Basis ruimtestaat'!M:M,C30,'1.4-Basis ruimtestaat'!K:K)</f>
        <v>212.35499999999999</v>
      </c>
      <c r="L30" s="447"/>
      <c r="M30" s="448">
        <f t="shared" si="1"/>
        <v>1.7984962909332897E-2</v>
      </c>
      <c r="N30" s="449"/>
      <c r="O30" s="263" t="s">
        <v>131</v>
      </c>
      <c r="P30" s="180"/>
      <c r="R30" s="192"/>
      <c r="S30" s="192"/>
      <c r="T30" s="192"/>
      <c r="U30" s="192"/>
      <c r="V30" s="192"/>
      <c r="W30" s="192"/>
    </row>
    <row r="31" spans="1:23" ht="15.5">
      <c r="B31" s="192"/>
      <c r="C31" s="538">
        <v>7200</v>
      </c>
      <c r="D31" s="539"/>
      <c r="E31" s="540">
        <v>200</v>
      </c>
      <c r="F31" s="541" t="s">
        <v>133</v>
      </c>
      <c r="G31" s="542" t="s">
        <v>123</v>
      </c>
      <c r="H31" s="520">
        <v>0.52307692307692311</v>
      </c>
      <c r="I31" s="520">
        <v>9.2307692307692313E-2</v>
      </c>
      <c r="J31" s="445">
        <f t="shared" ref="J31" si="7">IF(H31=0,0,E31/SUM(H31+I31))</f>
        <v>325</v>
      </c>
      <c r="K31" s="446">
        <f>SUMIF('1.4-Basis ruimtestaat'!M:M,C31,'1.4-Basis ruimtestaat'!K:K)</f>
        <v>4180.1150000000016</v>
      </c>
      <c r="L31" s="447"/>
      <c r="M31" s="448">
        <f t="shared" si="1"/>
        <v>0.35402610360832626</v>
      </c>
      <c r="N31" s="449"/>
      <c r="O31" s="263" t="s">
        <v>131</v>
      </c>
      <c r="P31" s="180"/>
      <c r="R31" s="192"/>
      <c r="S31" s="192"/>
      <c r="T31" s="192"/>
      <c r="U31" s="192"/>
      <c r="V31" s="192"/>
      <c r="W31" s="192"/>
    </row>
    <row r="32" spans="1:23" ht="15.5">
      <c r="B32" s="192"/>
      <c r="C32" s="444">
        <v>8200</v>
      </c>
      <c r="D32" s="529"/>
      <c r="E32" s="530">
        <v>200</v>
      </c>
      <c r="F32" s="512" t="s">
        <v>134</v>
      </c>
      <c r="G32" s="513" t="s">
        <v>123</v>
      </c>
      <c r="H32" s="520">
        <v>0.57399999999999995</v>
      </c>
      <c r="I32" s="520">
        <v>7.2618304745486875E-2</v>
      </c>
      <c r="J32" s="445">
        <f t="shared" si="0"/>
        <v>309.30148208334634</v>
      </c>
      <c r="K32" s="446">
        <f>SUMIF('1.4-Basis ruimtestaat'!M:M,C32,'1.4-Basis ruimtestaat'!K:K)</f>
        <v>199.55</v>
      </c>
      <c r="L32" s="447"/>
      <c r="M32" s="448">
        <f t="shared" si="1"/>
        <v>1.690047019640404E-2</v>
      </c>
      <c r="N32" s="449"/>
      <c r="O32" s="263" t="s">
        <v>131</v>
      </c>
      <c r="P32" s="180"/>
      <c r="R32" s="192"/>
      <c r="S32" s="192"/>
      <c r="T32" s="192"/>
      <c r="U32" s="192"/>
      <c r="V32" s="192"/>
      <c r="W32" s="192"/>
    </row>
    <row r="33" spans="2:23" ht="15.5">
      <c r="B33" s="192"/>
      <c r="C33" s="538">
        <v>9052</v>
      </c>
      <c r="D33" s="539"/>
      <c r="E33" s="540">
        <v>52</v>
      </c>
      <c r="F33" s="541" t="s">
        <v>135</v>
      </c>
      <c r="G33" s="542" t="s">
        <v>121</v>
      </c>
      <c r="H33" s="520">
        <v>0.18348906861042741</v>
      </c>
      <c r="I33" s="520">
        <v>4.3980100057125854E-2</v>
      </c>
      <c r="J33" s="445">
        <f t="shared" ref="J33:J34" si="8">IF(H33=0,0,E33/SUM(H33+I33))</f>
        <v>228.60240930496443</v>
      </c>
      <c r="K33" s="446">
        <f>SUMIF('1.4-Basis ruimtestaat'!M:M,C33,'1.4-Basis ruimtestaat'!K:K)</f>
        <v>0</v>
      </c>
      <c r="L33" s="447"/>
      <c r="M33" s="448" t="str">
        <f t="shared" si="1"/>
        <v/>
      </c>
      <c r="N33" s="449"/>
      <c r="O33" s="263" t="s">
        <v>120</v>
      </c>
      <c r="P33" s="180"/>
      <c r="R33" s="192"/>
      <c r="S33" s="192"/>
      <c r="T33" s="192"/>
      <c r="U33" s="192"/>
      <c r="V33" s="192"/>
      <c r="W33" s="192"/>
    </row>
    <row r="34" spans="2:23" ht="15.5">
      <c r="B34" s="192"/>
      <c r="C34" s="538">
        <v>9080</v>
      </c>
      <c r="D34" s="539"/>
      <c r="E34" s="540">
        <v>80</v>
      </c>
      <c r="F34" s="541" t="s">
        <v>135</v>
      </c>
      <c r="G34" s="542" t="s">
        <v>122</v>
      </c>
      <c r="H34" s="520">
        <v>0.29640541852453661</v>
      </c>
      <c r="I34" s="520">
        <v>4.3980100057125854E-2</v>
      </c>
      <c r="J34" s="445">
        <f t="shared" si="8"/>
        <v>235.02762495110989</v>
      </c>
      <c r="K34" s="446">
        <f>SUMIF('1.4-Basis ruimtestaat'!M:M,C34,'1.4-Basis ruimtestaat'!K:K)</f>
        <v>0</v>
      </c>
      <c r="L34" s="447"/>
      <c r="M34" s="448" t="str">
        <f t="shared" si="1"/>
        <v/>
      </c>
      <c r="N34" s="449"/>
      <c r="O34" s="263" t="s">
        <v>120</v>
      </c>
      <c r="P34" s="180"/>
      <c r="R34" s="192"/>
      <c r="S34" s="192"/>
      <c r="T34" s="192"/>
      <c r="U34" s="192"/>
      <c r="V34" s="192"/>
      <c r="W34" s="192"/>
    </row>
    <row r="35" spans="2:23" ht="15.5">
      <c r="B35" s="192"/>
      <c r="C35" s="538">
        <v>9200</v>
      </c>
      <c r="D35" s="539"/>
      <c r="E35" s="540">
        <v>200</v>
      </c>
      <c r="F35" s="541" t="s">
        <v>135</v>
      </c>
      <c r="G35" s="542" t="s">
        <v>123</v>
      </c>
      <c r="H35" s="520">
        <v>0.70572718696318226</v>
      </c>
      <c r="I35" s="520">
        <v>4.3980100057125854E-2</v>
      </c>
      <c r="J35" s="445">
        <f t="shared" ref="J35" si="9">IF(H35=0,0,E35/SUM(H35+I35))</f>
        <v>266.7707830277264</v>
      </c>
      <c r="K35" s="446">
        <f>SUMIF('1.4-Basis ruimtestaat'!M:M,C35,'1.4-Basis ruimtestaat'!K:K)</f>
        <v>222.32979999999995</v>
      </c>
      <c r="L35" s="447"/>
      <c r="M35" s="448">
        <f t="shared" si="1"/>
        <v>1.8829757748296018E-2</v>
      </c>
      <c r="N35" s="449"/>
      <c r="O35" s="263" t="s">
        <v>120</v>
      </c>
      <c r="P35" s="180"/>
      <c r="R35" s="192"/>
      <c r="S35" s="192"/>
      <c r="T35" s="192"/>
      <c r="U35" s="192"/>
      <c r="V35" s="192"/>
      <c r="W35" s="192"/>
    </row>
    <row r="36" spans="2:23" ht="15.5">
      <c r="B36" s="192"/>
      <c r="C36" s="444">
        <v>10040</v>
      </c>
      <c r="D36" s="529"/>
      <c r="E36" s="530">
        <v>40</v>
      </c>
      <c r="F36" s="512" t="s">
        <v>136</v>
      </c>
      <c r="G36" s="513" t="s">
        <v>119</v>
      </c>
      <c r="H36" s="520">
        <v>0.23524239565439412</v>
      </c>
      <c r="I36" s="520">
        <v>0.460256861062945</v>
      </c>
      <c r="J36" s="445">
        <f t="shared" si="0"/>
        <v>57.512642340977472</v>
      </c>
      <c r="K36" s="446">
        <f>SUMIF('1.4-Basis ruimtestaat'!M:M,C36,'1.4-Basis ruimtestaat'!K:K)</f>
        <v>8.31</v>
      </c>
      <c r="L36" s="447"/>
      <c r="M36" s="448">
        <f t="shared" si="1"/>
        <v>7.0379808234586607E-4</v>
      </c>
      <c r="N36" s="449"/>
      <c r="O36" s="263" t="s">
        <v>120</v>
      </c>
      <c r="P36" s="180"/>
      <c r="R36" s="192"/>
      <c r="S36" s="192"/>
      <c r="T36" s="192"/>
      <c r="U36" s="192"/>
      <c r="V36" s="192"/>
      <c r="W36" s="192"/>
    </row>
    <row r="37" spans="2:23" ht="15.5">
      <c r="B37" s="192"/>
      <c r="C37" s="538">
        <v>11260</v>
      </c>
      <c r="D37" s="539"/>
      <c r="E37" s="540">
        <v>260</v>
      </c>
      <c r="F37" s="541" t="s">
        <v>137</v>
      </c>
      <c r="G37" s="542" t="s">
        <v>124</v>
      </c>
      <c r="H37" s="520">
        <v>0.35593197255534409</v>
      </c>
      <c r="I37" s="520">
        <v>8.6937407089667393E-2</v>
      </c>
      <c r="J37" s="445">
        <f t="shared" ref="J37" si="10">IF(H37=0,0,E37/SUM(H37+I37))</f>
        <v>587.08055230281855</v>
      </c>
      <c r="K37" s="446">
        <f>SUMIF('1.4-Basis ruimtestaat'!M:M,C37,'1.4-Basis ruimtestaat'!K:K)</f>
        <v>0</v>
      </c>
      <c r="L37" s="447"/>
      <c r="M37" s="448" t="str">
        <f t="shared" si="1"/>
        <v/>
      </c>
      <c r="N37" s="449"/>
      <c r="O37" s="263" t="s">
        <v>131</v>
      </c>
      <c r="P37" s="180"/>
      <c r="R37" s="192"/>
      <c r="S37" s="192"/>
      <c r="T37" s="192"/>
      <c r="U37" s="192"/>
      <c r="V37" s="192"/>
      <c r="W37" s="192"/>
    </row>
    <row r="38" spans="2:23" ht="15.5">
      <c r="B38" s="192"/>
      <c r="C38" s="444">
        <v>12260</v>
      </c>
      <c r="D38" s="529"/>
      <c r="E38" s="530">
        <v>260</v>
      </c>
      <c r="F38" s="512" t="s">
        <v>138</v>
      </c>
      <c r="G38" s="513" t="s">
        <v>124</v>
      </c>
      <c r="H38" s="520">
        <v>0.82099999999999995</v>
      </c>
      <c r="I38" s="520">
        <v>7.2618304745486875E-2</v>
      </c>
      <c r="J38" s="445">
        <f t="shared" si="0"/>
        <v>290.95196306889784</v>
      </c>
      <c r="K38" s="446">
        <f>SUMIF('1.4-Basis ruimtestaat'!M:M,C38,'1.4-Basis ruimtestaat'!K:K)</f>
        <v>112.87</v>
      </c>
      <c r="L38" s="447"/>
      <c r="M38" s="448">
        <f t="shared" si="1"/>
        <v>9.5592887550394589E-3</v>
      </c>
      <c r="N38" s="449"/>
      <c r="O38" s="263" t="s">
        <v>131</v>
      </c>
      <c r="P38" s="180"/>
      <c r="R38" s="192"/>
      <c r="S38" s="192"/>
      <c r="T38" s="192"/>
      <c r="U38" s="192"/>
      <c r="V38" s="192"/>
      <c r="W38" s="192"/>
    </row>
    <row r="39" spans="2:23" ht="15.5">
      <c r="B39" s="192"/>
      <c r="C39" s="538">
        <v>13200</v>
      </c>
      <c r="D39" s="539"/>
      <c r="E39" s="540">
        <v>200</v>
      </c>
      <c r="F39" s="541" t="s">
        <v>139</v>
      </c>
      <c r="G39" s="542" t="s">
        <v>123</v>
      </c>
      <c r="H39" s="520">
        <v>1.1946222527144883</v>
      </c>
      <c r="I39" s="520">
        <v>0.14932778158931104</v>
      </c>
      <c r="J39" s="445">
        <f t="shared" si="0"/>
        <v>148.81505628563426</v>
      </c>
      <c r="K39" s="446">
        <f>SUMIF('1.4-Basis ruimtestaat'!M:M,C39,'1.4-Basis ruimtestaat'!K:K)</f>
        <v>133.24999999999997</v>
      </c>
      <c r="L39" s="447"/>
      <c r="M39" s="448">
        <f t="shared" si="1"/>
        <v>1.1285330261442435E-2</v>
      </c>
      <c r="N39" s="449"/>
      <c r="O39" s="263" t="s">
        <v>120</v>
      </c>
      <c r="P39" s="180"/>
      <c r="R39" s="192"/>
      <c r="S39" s="192"/>
      <c r="T39" s="192"/>
      <c r="U39" s="192"/>
      <c r="V39" s="192"/>
      <c r="W39" s="192"/>
    </row>
    <row r="40" spans="2:23" ht="15.5">
      <c r="B40" s="192"/>
      <c r="C40" s="444">
        <v>14040</v>
      </c>
      <c r="D40" s="529"/>
      <c r="E40" s="530">
        <v>40</v>
      </c>
      <c r="F40" s="512" t="s">
        <v>140</v>
      </c>
      <c r="G40" s="513" t="s">
        <v>119</v>
      </c>
      <c r="H40" s="520">
        <v>6.7410000000000012E-2</v>
      </c>
      <c r="I40" s="520">
        <v>8.6937407089667393E-2</v>
      </c>
      <c r="J40" s="445">
        <f>IF(H40=0,0,E40/SUM(H40+I40))</f>
        <v>259.15563308920497</v>
      </c>
      <c r="K40" s="446">
        <f>SUMIF('1.4-Basis ruimtestaat'!M:M,C40,'1.4-Basis ruimtestaat'!K:K)</f>
        <v>91.93</v>
      </c>
      <c r="L40" s="447"/>
      <c r="M40" s="448">
        <f t="shared" si="1"/>
        <v>7.7858192190199127E-3</v>
      </c>
      <c r="N40" s="449"/>
      <c r="O40" s="263" t="s">
        <v>141</v>
      </c>
      <c r="P40" s="180"/>
      <c r="R40" s="192"/>
      <c r="S40" s="192"/>
      <c r="T40" s="192"/>
      <c r="U40" s="192"/>
      <c r="V40" s="192"/>
      <c r="W40" s="192"/>
    </row>
    <row r="41" spans="2:23" ht="15.5">
      <c r="B41" s="192"/>
      <c r="C41" s="444">
        <v>14200</v>
      </c>
      <c r="D41" s="529"/>
      <c r="E41" s="530">
        <v>200</v>
      </c>
      <c r="F41" s="512" t="s">
        <v>142</v>
      </c>
      <c r="G41" s="513" t="s">
        <v>123</v>
      </c>
      <c r="H41" s="520">
        <v>0.32100000000000001</v>
      </c>
      <c r="I41" s="520">
        <v>8.6937407089667393E-2</v>
      </c>
      <c r="J41" s="445">
        <f t="shared" si="0"/>
        <v>490.27129290949932</v>
      </c>
      <c r="K41" s="446">
        <f>SUMIF('1.4-Basis ruimtestaat'!M:M,C41,'1.4-Basis ruimtestaat'!K:K)</f>
        <v>954.7</v>
      </c>
      <c r="L41" s="447"/>
      <c r="M41" s="448">
        <f t="shared" si="1"/>
        <v>8.0856321205246495E-2</v>
      </c>
      <c r="N41" s="449"/>
      <c r="O41" s="263" t="s">
        <v>141</v>
      </c>
      <c r="P41" s="180"/>
      <c r="R41" s="192"/>
      <c r="S41" s="192"/>
      <c r="T41" s="192"/>
      <c r="U41" s="192"/>
      <c r="V41" s="192"/>
      <c r="W41" s="192"/>
    </row>
    <row r="42" spans="2:23" ht="15.5">
      <c r="B42" s="192"/>
      <c r="C42" s="538">
        <v>15040</v>
      </c>
      <c r="D42" s="539"/>
      <c r="E42" s="540">
        <v>40</v>
      </c>
      <c r="F42" s="541" t="s">
        <v>143</v>
      </c>
      <c r="G42" s="542" t="s">
        <v>119</v>
      </c>
      <c r="H42" s="520">
        <v>0.28499999999999998</v>
      </c>
      <c r="I42" s="520">
        <v>6.7999999999999991E-2</v>
      </c>
      <c r="J42" s="445">
        <f>IF(H42=0,0,E42/SUM(H42+I42))</f>
        <v>113.31444759206799</v>
      </c>
      <c r="K42" s="446">
        <f>SUMIF('1.4-Basis ruimtestaat'!M:M,C42,'1.4-Basis ruimtestaat'!K:K)</f>
        <v>19.100000000000001</v>
      </c>
      <c r="L42" s="447"/>
      <c r="M42" s="448">
        <f t="shared" si="1"/>
        <v>1.6176345815651074E-3</v>
      </c>
      <c r="N42" s="449"/>
      <c r="O42" s="263" t="s">
        <v>120</v>
      </c>
      <c r="P42" s="180"/>
      <c r="R42" s="192"/>
      <c r="S42" s="192"/>
      <c r="T42" s="192"/>
      <c r="U42" s="192"/>
      <c r="V42" s="192"/>
      <c r="W42" s="192"/>
    </row>
    <row r="43" spans="2:23" ht="15.5">
      <c r="B43" s="192"/>
      <c r="C43" s="444">
        <v>16200</v>
      </c>
      <c r="D43" s="514"/>
      <c r="E43" s="515">
        <v>200</v>
      </c>
      <c r="F43" s="512" t="s">
        <v>144</v>
      </c>
      <c r="G43" s="513" t="s">
        <v>123</v>
      </c>
      <c r="H43" s="520">
        <v>1.7647058823529411</v>
      </c>
      <c r="I43" s="520">
        <v>4.2000000000000003E-2</v>
      </c>
      <c r="J43" s="445">
        <f t="shared" ref="J43" si="11">IF(H43=0,0,E43/SUM(H43+I43))</f>
        <v>110.69870417399231</v>
      </c>
      <c r="K43" s="446">
        <f>SUMIF('1.4-Basis ruimtestaat'!M:M,C43,'1.4-Basis ruimtestaat'!K:K)</f>
        <v>0</v>
      </c>
      <c r="L43" s="447"/>
      <c r="M43" s="448" t="str">
        <f t="shared" si="1"/>
        <v/>
      </c>
      <c r="N43" s="449"/>
      <c r="O43" s="263" t="s">
        <v>120</v>
      </c>
      <c r="P43" s="180"/>
      <c r="R43" s="192"/>
      <c r="S43" s="192"/>
      <c r="T43" s="192"/>
      <c r="U43" s="192"/>
      <c r="V43" s="192"/>
      <c r="W43" s="192"/>
    </row>
    <row r="44" spans="2:23" ht="15.5">
      <c r="B44" s="192"/>
      <c r="C44" s="538">
        <v>17200</v>
      </c>
      <c r="D44" s="543"/>
      <c r="E44" s="544">
        <v>200</v>
      </c>
      <c r="F44" s="541" t="s">
        <v>145</v>
      </c>
      <c r="G44" s="542" t="s">
        <v>123</v>
      </c>
      <c r="H44" s="520">
        <v>0.59964726631393295</v>
      </c>
      <c r="I44" s="520">
        <v>0.10582010582010581</v>
      </c>
      <c r="J44" s="445">
        <f t="shared" ref="J44" si="12">IF(H44=0,0,E44/SUM(H44+I44))</f>
        <v>283.5</v>
      </c>
      <c r="K44" s="446">
        <f>SUMIF('1.4-Basis ruimtestaat'!M:M,C44,'1.4-Basis ruimtestaat'!K:K)</f>
        <v>0</v>
      </c>
      <c r="L44" s="447"/>
      <c r="M44" s="448" t="str">
        <f t="shared" si="1"/>
        <v/>
      </c>
      <c r="N44" s="449"/>
      <c r="O44" s="263" t="s">
        <v>120</v>
      </c>
      <c r="P44" s="180"/>
      <c r="R44" s="192"/>
      <c r="S44" s="192"/>
      <c r="T44" s="192"/>
      <c r="U44" s="192"/>
      <c r="V44" s="192"/>
      <c r="W44" s="192"/>
    </row>
    <row r="45" spans="2:23" ht="15.5">
      <c r="B45" s="192"/>
      <c r="C45" s="444" t="s">
        <v>146</v>
      </c>
      <c r="D45" s="514"/>
      <c r="E45" s="515"/>
      <c r="F45" s="512" t="s">
        <v>146</v>
      </c>
      <c r="G45" s="513"/>
      <c r="H45" s="513"/>
      <c r="I45" s="513"/>
      <c r="J45" s="445">
        <f t="shared" si="0"/>
        <v>0</v>
      </c>
      <c r="K45" s="446">
        <f>SUMIF('1.4-Basis ruimtestaat'!M:M,C45,'1.4-Basis ruimtestaat'!K:K)</f>
        <v>0</v>
      </c>
      <c r="L45" s="446">
        <f>SUMIF('1.4-Basis ruimtestaat'!M:M,C45,'1.4-Basis ruimtestaat'!L:L)</f>
        <v>0</v>
      </c>
      <c r="M45" s="448" t="str">
        <f>IF(L45=0,"",L45/$L$51)</f>
        <v/>
      </c>
      <c r="N45" s="449"/>
      <c r="O45" s="263"/>
      <c r="P45" s="180"/>
      <c r="R45" s="192"/>
      <c r="S45" s="192"/>
      <c r="T45" s="192"/>
      <c r="U45" s="192"/>
      <c r="V45" s="192"/>
      <c r="W45" s="192"/>
    </row>
    <row r="46" spans="2:23" ht="15.5">
      <c r="B46" s="192"/>
      <c r="C46" s="444" t="s">
        <v>147</v>
      </c>
      <c r="D46" s="514"/>
      <c r="E46" s="515"/>
      <c r="F46" s="512" t="s">
        <v>148</v>
      </c>
      <c r="G46" s="513"/>
      <c r="H46" s="513"/>
      <c r="I46" s="513"/>
      <c r="J46" s="445">
        <f t="shared" ref="J46" si="13">IF(H46=0,0,E46/SUM(H46+I46))</f>
        <v>0</v>
      </c>
      <c r="K46" s="446">
        <f>SUMIF('1.4-Basis ruimtestaat'!M:M,C46,'1.4-Basis ruimtestaat'!K:K)</f>
        <v>0</v>
      </c>
      <c r="L46" s="446">
        <f>SUMIF('1.4-Basis ruimtestaat'!M:M,C46,'1.4-Basis ruimtestaat'!L:L)</f>
        <v>1303.7200000000003</v>
      </c>
      <c r="M46" s="448">
        <f>IF(L46=0,"",L46/$L$51)</f>
        <v>0.11041584066377289</v>
      </c>
      <c r="N46" s="449"/>
      <c r="O46" s="263"/>
      <c r="P46" s="180"/>
      <c r="R46" s="192"/>
      <c r="S46" s="192"/>
      <c r="T46" s="192"/>
      <c r="U46" s="192"/>
      <c r="V46" s="192"/>
      <c r="W46" s="192"/>
    </row>
    <row r="47" spans="2:23" ht="15.5">
      <c r="B47" s="192"/>
      <c r="C47" s="444" t="s">
        <v>149</v>
      </c>
      <c r="D47" s="514"/>
      <c r="E47" s="515"/>
      <c r="F47" s="512" t="s">
        <v>150</v>
      </c>
      <c r="G47" s="513"/>
      <c r="H47" s="513"/>
      <c r="I47" s="513"/>
      <c r="J47" s="445">
        <f t="shared" ref="J47" si="14">IF(H47=0,0,E47/SUM(H47+I47))</f>
        <v>0</v>
      </c>
      <c r="K47" s="446">
        <f>SUMIF('1.4-Basis ruimtestaat'!M:M,C47,'1.4-Basis ruimtestaat'!K:K)</f>
        <v>0</v>
      </c>
      <c r="L47" s="446">
        <f>SUMIF('1.4-Basis ruimtestaat'!M:M,C47,'1.4-Basis ruimtestaat'!L:L)</f>
        <v>0</v>
      </c>
      <c r="M47" s="448" t="str">
        <f>IF(L47=0,"",L47/$L$51)</f>
        <v/>
      </c>
      <c r="N47" s="449"/>
      <c r="O47" s="263"/>
      <c r="P47" s="180"/>
      <c r="R47" s="192"/>
      <c r="S47" s="192"/>
      <c r="T47" s="192"/>
      <c r="U47" s="192"/>
      <c r="V47" s="192"/>
      <c r="W47" s="192"/>
    </row>
    <row r="48" spans="2:23" ht="15.5">
      <c r="B48" s="192"/>
      <c r="C48" s="444" t="s">
        <v>151</v>
      </c>
      <c r="D48" s="514"/>
      <c r="E48" s="515"/>
      <c r="F48" s="512" t="s">
        <v>152</v>
      </c>
      <c r="G48" s="513"/>
      <c r="H48" s="513"/>
      <c r="I48" s="513"/>
      <c r="J48" s="445">
        <f t="shared" ref="J48" si="15">IF(H48=0,0,E48/SUM(H48+I48))</f>
        <v>0</v>
      </c>
      <c r="K48" s="446">
        <f>SUMIF('1.4-Basis ruimtestaat'!M:M,C48,'1.4-Basis ruimtestaat'!K:K)</f>
        <v>0</v>
      </c>
      <c r="L48" s="446">
        <f>SUMIF('1.4-Basis ruimtestaat'!M:M,C48,'1.4-Basis ruimtestaat'!L:L)</f>
        <v>0</v>
      </c>
      <c r="M48" s="448" t="str">
        <f>IF(L48=0,"",L48/$L$51)</f>
        <v/>
      </c>
      <c r="N48" s="449"/>
      <c r="O48" s="263"/>
      <c r="P48" s="180"/>
      <c r="R48" s="192"/>
      <c r="S48" s="192"/>
      <c r="T48" s="192"/>
      <c r="U48" s="192"/>
      <c r="V48" s="192"/>
      <c r="W48" s="192"/>
    </row>
    <row r="49" spans="2:16" ht="15.5">
      <c r="B49" s="192"/>
      <c r="C49" s="257"/>
      <c r="D49" s="257"/>
      <c r="E49" s="258"/>
      <c r="F49" s="259"/>
      <c r="G49" s="260"/>
      <c r="H49" s="261"/>
      <c r="I49" s="261"/>
      <c r="J49" s="262"/>
      <c r="K49" s="253"/>
      <c r="L49" s="254"/>
      <c r="M49" s="255"/>
      <c r="N49" s="256"/>
      <c r="O49" s="263"/>
      <c r="P49" s="180"/>
    </row>
    <row r="50" spans="2:16" ht="15.5">
      <c r="B50" s="192"/>
      <c r="K50" s="450">
        <f>SUM(K14:K49)</f>
        <v>10503.643800000003</v>
      </c>
      <c r="L50" s="450">
        <f>SUM(L20:L49)</f>
        <v>1303.7200000000003</v>
      </c>
      <c r="M50" s="274">
        <f>SUM(M13:M49)</f>
        <v>0.99999999999999967</v>
      </c>
      <c r="N50" s="215"/>
      <c r="O50" s="207"/>
      <c r="P50" s="180"/>
    </row>
    <row r="51" spans="2:16" ht="15.5">
      <c r="B51" s="192"/>
      <c r="D51" s="216"/>
      <c r="F51" s="217"/>
      <c r="G51" s="181"/>
      <c r="H51" s="182"/>
      <c r="K51" s="218" t="s">
        <v>153</v>
      </c>
      <c r="L51" s="451">
        <f>L50+K50</f>
        <v>11807.363800000003</v>
      </c>
      <c r="O51" s="220"/>
      <c r="P51" s="221"/>
    </row>
    <row r="52" spans="2:16">
      <c r="L52" s="222"/>
      <c r="M52" s="228"/>
      <c r="N52" s="224"/>
      <c r="O52" s="220"/>
      <c r="P52" s="221"/>
    </row>
    <row r="53" spans="2:16" ht="13">
      <c r="C53" s="225" t="s">
        <v>154</v>
      </c>
      <c r="D53" s="225"/>
      <c r="E53" s="226"/>
      <c r="F53" s="226"/>
      <c r="J53" s="227"/>
      <c r="K53" s="228"/>
    </row>
    <row r="54" spans="2:16">
      <c r="C54" s="226" t="s">
        <v>155</v>
      </c>
      <c r="D54" s="226"/>
      <c r="E54" s="226" t="s">
        <v>156</v>
      </c>
      <c r="J54" s="227"/>
      <c r="K54" s="228"/>
    </row>
    <row r="55" spans="2:16">
      <c r="C55" s="226" t="s">
        <v>157</v>
      </c>
      <c r="D55" s="226"/>
      <c r="E55" s="226" t="s">
        <v>158</v>
      </c>
      <c r="J55" s="227"/>
      <c r="K55" s="228"/>
      <c r="L55" s="223"/>
      <c r="M55" s="228"/>
      <c r="O55" s="230"/>
      <c r="P55" s="231"/>
    </row>
    <row r="56" spans="2:16">
      <c r="C56" s="226" t="s">
        <v>159</v>
      </c>
      <c r="D56" s="226"/>
      <c r="E56" s="226" t="s">
        <v>160</v>
      </c>
      <c r="J56" s="227"/>
      <c r="K56" s="228"/>
      <c r="L56" s="223"/>
      <c r="M56" s="232"/>
      <c r="N56" s="233"/>
      <c r="O56" s="230"/>
      <c r="P56" s="230"/>
    </row>
    <row r="57" spans="2:16">
      <c r="C57" s="226" t="s">
        <v>161</v>
      </c>
      <c r="D57" s="226"/>
      <c r="E57" s="226" t="s">
        <v>162</v>
      </c>
      <c r="J57" s="227"/>
      <c r="K57" s="228"/>
      <c r="L57" s="223"/>
      <c r="M57" s="232"/>
      <c r="N57" s="233"/>
      <c r="O57" s="230"/>
      <c r="P57" s="230"/>
    </row>
    <row r="58" spans="2:16">
      <c r="C58" s="226" t="s">
        <v>163</v>
      </c>
      <c r="D58" s="226"/>
      <c r="E58" s="226" t="s">
        <v>164</v>
      </c>
      <c r="J58" s="227"/>
      <c r="K58" s="228"/>
      <c r="L58" s="223"/>
      <c r="M58" s="232"/>
      <c r="N58" s="233"/>
      <c r="O58" s="230"/>
      <c r="P58" s="230"/>
    </row>
    <row r="59" spans="2:16">
      <c r="C59" s="226" t="s">
        <v>165</v>
      </c>
      <c r="D59" s="226"/>
      <c r="E59" s="226" t="s">
        <v>166</v>
      </c>
      <c r="J59" s="227"/>
      <c r="K59" s="228"/>
      <c r="L59" s="223"/>
      <c r="M59" s="232"/>
      <c r="N59" s="233"/>
      <c r="O59" s="230"/>
      <c r="P59" s="230"/>
    </row>
    <row r="60" spans="2:16">
      <c r="C60" s="226" t="s">
        <v>167</v>
      </c>
      <c r="D60" s="226"/>
      <c r="E60" s="226" t="s">
        <v>168</v>
      </c>
      <c r="J60" s="227"/>
      <c r="K60" s="228"/>
      <c r="L60" s="223"/>
      <c r="M60" s="232"/>
      <c r="N60" s="233"/>
      <c r="O60" s="230"/>
      <c r="P60" s="230"/>
    </row>
    <row r="61" spans="2:16">
      <c r="C61" s="226" t="s">
        <v>169</v>
      </c>
      <c r="D61" s="226"/>
      <c r="E61" s="226" t="s">
        <v>170</v>
      </c>
      <c r="J61" s="227"/>
      <c r="K61" s="228"/>
      <c r="L61" s="223"/>
      <c r="M61" s="232"/>
      <c r="N61" s="233"/>
      <c r="O61" s="230"/>
      <c r="P61" s="230"/>
    </row>
    <row r="62" spans="2:16">
      <c r="C62" s="226" t="s">
        <v>171</v>
      </c>
      <c r="D62" s="226"/>
      <c r="E62" s="226" t="s">
        <v>172</v>
      </c>
      <c r="J62" s="227"/>
      <c r="K62" s="228"/>
      <c r="L62" s="223"/>
      <c r="M62" s="232"/>
      <c r="N62" s="233"/>
      <c r="O62" s="230"/>
      <c r="P62" s="230"/>
    </row>
    <row r="63" spans="2:16">
      <c r="C63" s="226" t="s">
        <v>173</v>
      </c>
      <c r="D63" s="226"/>
      <c r="E63" s="226" t="s">
        <v>174</v>
      </c>
      <c r="J63" s="227"/>
      <c r="K63" s="228"/>
      <c r="L63" s="223"/>
      <c r="M63" s="232"/>
      <c r="N63" s="233"/>
      <c r="O63" s="230"/>
      <c r="P63" s="230"/>
    </row>
    <row r="64" spans="2:16">
      <c r="C64" s="226" t="s">
        <v>175</v>
      </c>
      <c r="D64" s="226"/>
      <c r="E64" s="226" t="s">
        <v>176</v>
      </c>
      <c r="J64" s="227"/>
      <c r="K64" s="228"/>
      <c r="L64" s="223"/>
      <c r="M64" s="232"/>
      <c r="N64" s="233"/>
      <c r="O64" s="230"/>
      <c r="P64" s="230"/>
    </row>
    <row r="65" spans="3:16" ht="13" thickBot="1">
      <c r="J65" s="227"/>
      <c r="K65" s="228"/>
      <c r="L65" s="223"/>
      <c r="M65" s="232"/>
      <c r="N65" s="233"/>
      <c r="O65" s="230"/>
      <c r="P65" s="230"/>
    </row>
    <row r="66" spans="3:16">
      <c r="C66" s="264"/>
      <c r="D66" s="264"/>
      <c r="E66" s="265"/>
      <c r="F66" s="266"/>
      <c r="G66" s="267"/>
      <c r="H66" s="268"/>
      <c r="I66" s="268"/>
      <c r="J66" s="269"/>
      <c r="K66" s="270"/>
      <c r="L66" s="271"/>
      <c r="M66" s="267"/>
      <c r="N66" s="272"/>
      <c r="O66" s="273"/>
    </row>
  </sheetData>
  <sheetProtection algorithmName="SHA-512" hashValue="daUhuqQZmW9uWiGcvix5fDa1DFnmw4Uq8Hb73WEYX5tYRe54Q5IX5RJb2bts6EJ6C0kFK1yIkzXaJNfxYj3woQ==" saltValue="ll7fm+RhofJzLWNaffDUQg==" spinCount="100000" sheet="1" objects="1" scenarios="1"/>
  <phoneticPr fontId="9"/>
  <conditionalFormatting sqref="H14:I44">
    <cfRule type="cellIs" dxfId="5" priority="1" operator="greaterThan">
      <formula>0</formula>
    </cfRule>
  </conditionalFormatting>
  <printOptions horizontalCentered="1" gridLinesSet="0"/>
  <pageMargins left="0.19685039370078741" right="0.19685039370078741" top="0.39370078740157483" bottom="0.39370078740157483" header="0.39370078740157483" footer="0.19685039370078741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F481"/>
  <sheetViews>
    <sheetView showGridLines="0" showRowColHeaders="0" showZeros="0" showOutlineSymbols="0" topLeftCell="A4" zoomScale="66" zoomScaleNormal="100" zoomScaleSheetLayoutView="65" zoomScalePageLayoutView="90" workbookViewId="0">
      <pane ySplit="10" topLeftCell="A17" activePane="bottomLeft" state="frozen"/>
      <selection activeCell="E55" sqref="E55"/>
      <selection pane="bottomLeft" activeCell="K14" sqref="K14:K481"/>
    </sheetView>
  </sheetViews>
  <sheetFormatPr defaultColWidth="8.81640625" defaultRowHeight="16" customHeight="1"/>
  <cols>
    <col min="1" max="1" width="8.54296875" style="226" customWidth="1"/>
    <col min="2" max="2" width="20.54296875" style="276" customWidth="1"/>
    <col min="3" max="3" width="13" style="311" customWidth="1"/>
    <col min="4" max="4" width="9.453125" style="276" customWidth="1"/>
    <col min="5" max="5" width="35.453125" style="312" customWidth="1"/>
    <col min="6" max="6" width="13.453125" style="276" bestFit="1" customWidth="1"/>
    <col min="7" max="7" width="13" style="313" customWidth="1"/>
    <col min="8" max="8" width="23.453125" style="226" bestFit="1" customWidth="1"/>
    <col min="9" max="9" width="44.1796875" style="295" bestFit="1" customWidth="1"/>
    <col min="10" max="10" width="16" style="276" customWidth="1"/>
    <col min="11" max="12" width="10.81640625" style="296" customWidth="1"/>
    <col min="13" max="13" width="21.81640625" style="297" bestFit="1" customWidth="1"/>
    <col min="14" max="14" width="21.81640625" style="276" bestFit="1" customWidth="1"/>
    <col min="15" max="15" width="16.54296875" style="276" bestFit="1" customWidth="1"/>
    <col min="16" max="16" width="11" style="297" hidden="1" customWidth="1"/>
    <col min="17" max="17" width="0.1796875" style="297" hidden="1" customWidth="1"/>
    <col min="18" max="18" width="12" style="298" customWidth="1"/>
    <col min="19" max="19" width="18.1796875" style="298" bestFit="1" customWidth="1"/>
    <col min="20" max="20" width="18.1796875" style="226" bestFit="1" customWidth="1"/>
    <col min="21" max="22" width="18.54296875" style="276" bestFit="1" customWidth="1"/>
    <col min="23" max="23" width="18.54296875" style="226" bestFit="1" customWidth="1"/>
    <col min="24" max="24" width="13.54296875" style="226" bestFit="1" customWidth="1"/>
    <col min="25" max="25" width="27.453125" style="314" bestFit="1" customWidth="1"/>
    <col min="26" max="26" width="17" style="276" customWidth="1"/>
    <col min="27" max="27" width="20.453125" style="276" customWidth="1"/>
    <col min="28" max="28" width="15.54296875" style="226" customWidth="1"/>
    <col min="29" max="29" width="9.1796875" style="226" hidden="1" customWidth="1"/>
    <col min="30" max="30" width="9.54296875" style="226" hidden="1" customWidth="1"/>
    <col min="31" max="31" width="11.1796875" style="226" hidden="1" customWidth="1"/>
    <col min="32" max="32" width="12" style="226" hidden="1" customWidth="1"/>
    <col min="33" max="33" width="20" style="226" customWidth="1"/>
    <col min="34" max="16384" width="8.81640625" style="226"/>
  </cols>
  <sheetData>
    <row r="1" spans="1:30" s="1" customFormat="1" ht="9" customHeight="1" thickBot="1">
      <c r="A1" s="4"/>
      <c r="B1" s="21"/>
      <c r="C1" s="21"/>
      <c r="D1" s="496"/>
      <c r="E1" s="21"/>
      <c r="F1" s="21"/>
      <c r="G1" s="21"/>
      <c r="H1" s="21"/>
      <c r="I1" s="21"/>
      <c r="J1" s="49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87"/>
      <c r="X1" s="87"/>
      <c r="Y1" s="87"/>
      <c r="Z1" s="87"/>
      <c r="AA1" s="87"/>
    </row>
    <row r="2" spans="1:30" s="1" customFormat="1" ht="8.15" customHeight="1">
      <c r="A2" s="4"/>
      <c r="B2" s="90"/>
      <c r="C2" s="90"/>
      <c r="D2" s="497"/>
      <c r="E2" s="90"/>
      <c r="F2" s="90"/>
      <c r="G2" s="90"/>
      <c r="H2" s="90"/>
      <c r="I2" s="90"/>
      <c r="J2" s="492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87"/>
      <c r="X2" s="87"/>
      <c r="Y2" s="87"/>
      <c r="Z2" s="87"/>
      <c r="AA2" s="87"/>
    </row>
    <row r="3" spans="1:30" s="180" customFormat="1" ht="12.5">
      <c r="C3" s="181"/>
      <c r="D3" s="181"/>
      <c r="E3" s="181"/>
      <c r="F3" s="182"/>
      <c r="G3" s="183"/>
      <c r="H3" s="184"/>
      <c r="I3" s="493"/>
      <c r="J3" s="185"/>
      <c r="K3" s="186"/>
      <c r="L3" s="187"/>
      <c r="M3" s="183"/>
      <c r="N3" s="188"/>
    </row>
    <row r="4" spans="1:30" ht="18" customHeight="1">
      <c r="A4" s="276"/>
      <c r="C4" s="277"/>
      <c r="E4" s="289" t="str">
        <f>'1.3-Kengetal'!C4</f>
        <v>Omschrijving blad</v>
      </c>
      <c r="F4" s="290"/>
      <c r="G4" s="338" t="s">
        <v>177</v>
      </c>
      <c r="H4" s="291"/>
      <c r="I4" s="494"/>
      <c r="J4" s="280"/>
      <c r="K4" s="283"/>
      <c r="L4" s="283"/>
      <c r="M4" s="284"/>
      <c r="N4" s="280"/>
      <c r="O4" s="283"/>
      <c r="P4" s="283"/>
      <c r="Q4" s="283"/>
      <c r="R4" s="285"/>
      <c r="S4" s="286"/>
      <c r="T4" s="287"/>
      <c r="U4" s="288"/>
      <c r="V4" s="288"/>
      <c r="W4" s="287"/>
      <c r="X4" s="292"/>
      <c r="Y4" s="293"/>
      <c r="Z4" s="280"/>
    </row>
    <row r="5" spans="1:30" ht="18" customHeight="1">
      <c r="A5" s="276"/>
      <c r="C5" s="277"/>
      <c r="E5" s="190" t="s">
        <v>61</v>
      </c>
      <c r="G5" s="29" t="str">
        <f>Voorblad!$E$17</f>
        <v>Stichting Kolom</v>
      </c>
      <c r="H5" s="291"/>
      <c r="I5" s="495"/>
      <c r="J5" s="280"/>
      <c r="K5" s="283"/>
      <c r="L5" s="283"/>
      <c r="M5" s="284"/>
      <c r="N5" s="280"/>
      <c r="O5" s="280"/>
      <c r="P5" s="284"/>
      <c r="Q5" s="284"/>
      <c r="R5" s="285"/>
      <c r="S5" s="286"/>
      <c r="T5" s="287"/>
      <c r="U5" s="288"/>
      <c r="V5" s="288"/>
      <c r="W5" s="294"/>
      <c r="X5" s="292"/>
      <c r="Y5" s="293"/>
      <c r="Z5" s="280"/>
    </row>
    <row r="6" spans="1:30" ht="18" customHeight="1">
      <c r="A6" s="276"/>
      <c r="C6" s="277"/>
      <c r="E6" s="190" t="s">
        <v>62</v>
      </c>
      <c r="G6" s="29" t="str">
        <f>Voorblad!$E$18</f>
        <v>Regio Amsterdam - Haarlem</v>
      </c>
      <c r="H6" s="291"/>
      <c r="J6" s="280"/>
      <c r="K6" s="283"/>
      <c r="M6" s="284"/>
      <c r="N6" s="280"/>
      <c r="O6" s="280"/>
      <c r="S6" s="286"/>
      <c r="T6" s="287"/>
      <c r="U6" s="288"/>
      <c r="V6" s="288"/>
      <c r="W6" s="287"/>
      <c r="X6" s="292"/>
      <c r="Y6" s="293"/>
      <c r="Z6" s="280"/>
    </row>
    <row r="7" spans="1:30" ht="18" customHeight="1">
      <c r="A7" s="276"/>
      <c r="C7" s="277"/>
      <c r="E7" s="190" t="s">
        <v>63</v>
      </c>
      <c r="G7" s="31" t="str">
        <f>Voorblad!$E$25</f>
        <v>2009-46–2022</v>
      </c>
      <c r="H7" s="291"/>
      <c r="J7" s="280"/>
      <c r="K7" s="283"/>
      <c r="L7" s="283"/>
      <c r="M7" s="284"/>
      <c r="N7" s="280"/>
      <c r="O7" s="280"/>
      <c r="S7" s="286"/>
      <c r="T7" s="287"/>
      <c r="U7" s="288"/>
      <c r="V7" s="288"/>
      <c r="W7" s="287"/>
      <c r="X7" s="292"/>
      <c r="Y7" s="293"/>
      <c r="Z7" s="280"/>
    </row>
    <row r="8" spans="1:30" ht="18" customHeight="1">
      <c r="A8" s="276"/>
      <c r="C8" s="277"/>
      <c r="E8" s="190" t="s">
        <v>10</v>
      </c>
      <c r="G8" s="32" t="str">
        <f ca="1">Voorblad!$E$27</f>
        <v xml:space="preserve">Bijlage E1 - Calculatiemodel  St Kolom Perceel 1 </v>
      </c>
      <c r="H8" s="291"/>
      <c r="J8" s="295"/>
      <c r="K8" s="295"/>
      <c r="L8" s="283"/>
      <c r="M8" s="284"/>
      <c r="N8" s="280"/>
      <c r="O8" s="280"/>
      <c r="S8" s="286"/>
      <c r="T8" s="287"/>
      <c r="U8" s="288"/>
      <c r="V8" s="288"/>
      <c r="W8" s="287"/>
      <c r="X8" s="292"/>
      <c r="Y8" s="293"/>
      <c r="Z8" s="280"/>
    </row>
    <row r="9" spans="1:30" ht="18" customHeight="1">
      <c r="A9" s="276"/>
      <c r="C9" s="277"/>
      <c r="E9" s="190" t="s">
        <v>64</v>
      </c>
      <c r="G9" s="79" t="str">
        <f>Voorblad!$E$20</f>
        <v>[Naam organisatie Inschrijver]</v>
      </c>
      <c r="H9" s="299"/>
      <c r="J9" s="489" t="s">
        <v>178</v>
      </c>
      <c r="K9" s="490" t="s">
        <v>179</v>
      </c>
      <c r="L9" s="283"/>
      <c r="M9" s="284"/>
      <c r="N9" s="280"/>
      <c r="O9" s="280"/>
      <c r="R9" s="300"/>
      <c r="S9" s="300"/>
      <c r="T9" s="300"/>
      <c r="U9" s="288"/>
      <c r="V9" s="288"/>
      <c r="W9" s="287"/>
      <c r="X9" s="292"/>
      <c r="Y9" s="293"/>
      <c r="Z9" s="280"/>
    </row>
    <row r="10" spans="1:30" ht="18" customHeight="1">
      <c r="A10" s="276"/>
      <c r="C10" s="277"/>
      <c r="E10" s="190" t="s">
        <v>65</v>
      </c>
      <c r="G10" s="36">
        <f>Voorblad!$E$23</f>
        <v>45017</v>
      </c>
      <c r="H10" s="549"/>
      <c r="I10" s="301"/>
      <c r="K10" s="283"/>
      <c r="L10" s="283"/>
      <c r="M10" s="486"/>
      <c r="N10" s="280"/>
      <c r="O10" s="280"/>
      <c r="S10" s="286"/>
      <c r="T10" s="287"/>
      <c r="U10" s="288"/>
      <c r="V10" s="288"/>
      <c r="W10" s="287"/>
      <c r="Y10" s="293"/>
      <c r="Z10" s="280"/>
    </row>
    <row r="11" spans="1:30" ht="13">
      <c r="A11" s="276"/>
      <c r="C11" s="277"/>
      <c r="E11" s="278"/>
      <c r="F11" s="279"/>
      <c r="G11" s="280"/>
      <c r="H11" s="281"/>
      <c r="I11" s="282"/>
      <c r="J11" s="280"/>
      <c r="K11" s="283"/>
      <c r="L11" s="283"/>
      <c r="M11" s="284"/>
      <c r="N11" s="280"/>
      <c r="O11" s="280"/>
      <c r="S11" s="286"/>
      <c r="T11" s="287"/>
      <c r="U11" s="288"/>
      <c r="V11" s="288"/>
      <c r="W11" s="287"/>
      <c r="X11" s="281"/>
      <c r="Y11" s="293"/>
      <c r="Z11" s="280"/>
    </row>
    <row r="12" spans="1:30" s="324" customFormat="1" ht="53.15" customHeight="1">
      <c r="A12" s="315"/>
      <c r="B12" s="168" t="s">
        <v>180</v>
      </c>
      <c r="C12" s="316" t="s">
        <v>181</v>
      </c>
      <c r="D12" s="167" t="s">
        <v>182</v>
      </c>
      <c r="E12" s="166" t="s">
        <v>183</v>
      </c>
      <c r="F12" s="167" t="s">
        <v>184</v>
      </c>
      <c r="G12" s="317" t="s">
        <v>185</v>
      </c>
      <c r="H12" s="166" t="s">
        <v>186</v>
      </c>
      <c r="I12" s="318" t="s">
        <v>187</v>
      </c>
      <c r="J12" s="168" t="s">
        <v>188</v>
      </c>
      <c r="K12" s="249" t="s">
        <v>113</v>
      </c>
      <c r="L12" s="249" t="s">
        <v>114</v>
      </c>
      <c r="M12" s="319" t="s">
        <v>189</v>
      </c>
      <c r="N12" s="319" t="s">
        <v>190</v>
      </c>
      <c r="O12" s="320" t="s">
        <v>107</v>
      </c>
      <c r="P12" s="319" t="s">
        <v>191</v>
      </c>
      <c r="Q12" s="319" t="s">
        <v>192</v>
      </c>
      <c r="R12" s="321" t="s">
        <v>193</v>
      </c>
      <c r="S12" s="321" t="s">
        <v>194</v>
      </c>
      <c r="T12" s="321" t="s">
        <v>195</v>
      </c>
      <c r="U12" s="322" t="s">
        <v>196</v>
      </c>
      <c r="V12" s="320" t="s">
        <v>111</v>
      </c>
      <c r="W12" s="320" t="s">
        <v>197</v>
      </c>
      <c r="X12" s="167" t="s">
        <v>117</v>
      </c>
      <c r="Y12" s="323" t="s">
        <v>116</v>
      </c>
      <c r="Z12" s="168" t="s">
        <v>198</v>
      </c>
      <c r="AA12" s="168" t="s">
        <v>199</v>
      </c>
    </row>
    <row r="13" spans="1:30" s="324" customFormat="1" ht="13">
      <c r="A13" s="315"/>
      <c r="B13" s="333" t="s">
        <v>200</v>
      </c>
      <c r="C13" s="334"/>
      <c r="D13" s="498"/>
      <c r="E13" s="335"/>
      <c r="F13" s="173"/>
      <c r="G13" s="325"/>
      <c r="H13" s="172"/>
      <c r="I13" s="326"/>
      <c r="J13" s="174"/>
      <c r="K13" s="327"/>
      <c r="L13" s="327"/>
      <c r="M13" s="328"/>
      <c r="N13" s="328"/>
      <c r="O13" s="329"/>
      <c r="P13" s="328"/>
      <c r="Q13" s="328"/>
      <c r="R13" s="330"/>
      <c r="S13" s="330"/>
      <c r="T13" s="330"/>
      <c r="U13" s="331"/>
      <c r="V13" s="329"/>
      <c r="W13" s="329"/>
      <c r="X13" s="173"/>
      <c r="Y13" s="332"/>
      <c r="Z13" s="174"/>
      <c r="AA13" s="174"/>
    </row>
    <row r="14" spans="1:30" ht="12.5">
      <c r="B14" s="336"/>
      <c r="C14" s="337"/>
      <c r="D14" s="302">
        <f>VLOOKUP(E14,'1.2-Jaarprijzen'!B:G,6,FALSE)</f>
        <v>1</v>
      </c>
      <c r="E14" s="522" t="s">
        <v>79</v>
      </c>
      <c r="F14" s="302" t="s">
        <v>201</v>
      </c>
      <c r="G14" s="525" t="s">
        <v>202</v>
      </c>
      <c r="H14" s="523" t="s">
        <v>203</v>
      </c>
      <c r="I14" s="303" t="str">
        <f t="shared" ref="I14:I17" si="0">IF($M14="",0,VLOOKUP($M14,Kengetal,4,FALSE))</f>
        <v>entree, gang, hal, repro, kopieer, was/droogruimte</v>
      </c>
      <c r="J14" s="302" t="s">
        <v>204</v>
      </c>
      <c r="K14" s="304">
        <v>14.850000000000001</v>
      </c>
      <c r="L14" s="304"/>
      <c r="M14" s="305">
        <v>3200</v>
      </c>
      <c r="N14" s="302"/>
      <c r="O14" s="306">
        <f t="shared" ref="O14:O43" si="1">VLOOKUP(M14,Kengetal,3,FALSE)+VLOOKUP(N14,Kengetal,3,FALSE)</f>
        <v>200</v>
      </c>
      <c r="P14" s="472">
        <v>1</v>
      </c>
      <c r="Q14" s="472">
        <v>1</v>
      </c>
      <c r="R14" s="300">
        <f t="shared" ref="R14:R43" si="2">U14*K14*P14</f>
        <v>5.5893593207484038</v>
      </c>
      <c r="S14" s="300">
        <f t="shared" ref="S14:S43" si="3">V14*K14*Q14</f>
        <v>1.6859208820735678</v>
      </c>
      <c r="T14" s="300">
        <f t="shared" ref="T14:T43" si="4">W14*K14*P14</f>
        <v>0</v>
      </c>
      <c r="U14" s="307">
        <f t="shared" ref="U14:U30" si="5">IF($M14=0,0,VLOOKUP($M14,Kengetal,6,FALSE))</f>
        <v>0.37638783304703055</v>
      </c>
      <c r="V14" s="307">
        <f t="shared" ref="V14:V30" si="6">IF($M14=0,0,VLOOKUP($M14,Kengetal,7,FALSE))</f>
        <v>0.11353002572885977</v>
      </c>
      <c r="W14" s="307">
        <f t="shared" ref="W14:W30" si="7">IF($N14=0,0,VLOOKUP($N14,Kengetal,6,FALSE))</f>
        <v>0</v>
      </c>
      <c r="X14" s="308" t="str">
        <f t="shared" ref="X14:X43" si="8">IF(M14="","",VLOOKUP(M14,Kengetal,13,FALSE))</f>
        <v>V</v>
      </c>
      <c r="Y14" s="309" t="s">
        <v>205</v>
      </c>
      <c r="Z14" s="310">
        <f>(R14+S14+T14)*'1.0-Contractblad'!$L$37</f>
        <v>220.93332993827886</v>
      </c>
      <c r="AA14" s="310">
        <f ca="1">VLOOKUP(E14,'1.2-Jaarprijzen'!$B$51:$Q$88,16,FALSE)*K14</f>
        <v>0</v>
      </c>
      <c r="AC14" s="226">
        <f t="shared" ref="AC14:AC41" si="9">K14*O14</f>
        <v>2970.0000000000005</v>
      </c>
      <c r="AD14" s="226" t="str">
        <f t="shared" ref="AD14:AD41" si="10">CONCATENATE(M14,"-",O14)</f>
        <v>3200-200</v>
      </c>
    </row>
    <row r="15" spans="1:30" ht="12.5">
      <c r="B15" s="336"/>
      <c r="C15" s="337"/>
      <c r="D15" s="302">
        <f>VLOOKUP(E15,'1.2-Jaarprijzen'!B:G,6,FALSE)</f>
        <v>1</v>
      </c>
      <c r="E15" s="522" t="s">
        <v>79</v>
      </c>
      <c r="F15" s="302" t="s">
        <v>201</v>
      </c>
      <c r="G15" s="525" t="s">
        <v>206</v>
      </c>
      <c r="H15" s="523" t="s">
        <v>207</v>
      </c>
      <c r="I15" s="303" t="str">
        <f t="shared" si="0"/>
        <v>niet van toepassing</v>
      </c>
      <c r="J15" s="302" t="s">
        <v>208</v>
      </c>
      <c r="K15" s="304"/>
      <c r="L15" s="304">
        <v>4.4000000000000004</v>
      </c>
      <c r="M15" s="305" t="s">
        <v>147</v>
      </c>
      <c r="N15" s="302"/>
      <c r="O15" s="306">
        <f t="shared" si="1"/>
        <v>0</v>
      </c>
      <c r="P15" s="472">
        <v>1</v>
      </c>
      <c r="Q15" s="472">
        <v>1</v>
      </c>
      <c r="R15" s="300">
        <f t="shared" si="2"/>
        <v>0</v>
      </c>
      <c r="S15" s="300">
        <f t="shared" si="3"/>
        <v>0</v>
      </c>
      <c r="T15" s="300">
        <f t="shared" si="4"/>
        <v>0</v>
      </c>
      <c r="U15" s="307">
        <f t="shared" si="5"/>
        <v>0</v>
      </c>
      <c r="V15" s="307">
        <f t="shared" si="6"/>
        <v>0</v>
      </c>
      <c r="W15" s="307">
        <f t="shared" si="7"/>
        <v>0</v>
      </c>
      <c r="X15" s="308">
        <f t="shared" si="8"/>
        <v>0</v>
      </c>
      <c r="Y15" s="309"/>
      <c r="Z15" s="310">
        <f>(R15+S15+T15)*'1.0-Contractblad'!$L$37</f>
        <v>0</v>
      </c>
      <c r="AA15" s="310">
        <f ca="1">VLOOKUP(E15,'1.2-Jaarprijzen'!$B$51:$Q$88,16,FALSE)*K15</f>
        <v>0</v>
      </c>
      <c r="AC15" s="226">
        <f t="shared" si="9"/>
        <v>0</v>
      </c>
      <c r="AD15" s="226" t="str">
        <f t="shared" si="10"/>
        <v>nvt-0</v>
      </c>
    </row>
    <row r="16" spans="1:30" ht="12.5">
      <c r="B16" s="336"/>
      <c r="C16" s="337"/>
      <c r="D16" s="302">
        <f>VLOOKUP(E16,'1.2-Jaarprijzen'!B:G,6,FALSE)</f>
        <v>1</v>
      </c>
      <c r="E16" s="522" t="s">
        <v>79</v>
      </c>
      <c r="F16" s="302" t="s">
        <v>201</v>
      </c>
      <c r="G16" s="525" t="s">
        <v>209</v>
      </c>
      <c r="H16" s="523" t="s">
        <v>210</v>
      </c>
      <c r="I16" s="303" t="str">
        <f t="shared" si="0"/>
        <v>aula, gemeenschappelijke ruimte, bibliotheek</v>
      </c>
      <c r="J16" s="302" t="s">
        <v>204</v>
      </c>
      <c r="K16" s="304">
        <v>269.61680000000001</v>
      </c>
      <c r="L16" s="304"/>
      <c r="M16" s="305">
        <v>2200</v>
      </c>
      <c r="N16" s="302"/>
      <c r="O16" s="306">
        <f t="shared" si="1"/>
        <v>200</v>
      </c>
      <c r="P16" s="472">
        <v>1</v>
      </c>
      <c r="Q16" s="472">
        <v>1</v>
      </c>
      <c r="R16" s="300">
        <f t="shared" si="2"/>
        <v>103.13505619917912</v>
      </c>
      <c r="S16" s="300">
        <f t="shared" si="3"/>
        <v>29.506553511529852</v>
      </c>
      <c r="T16" s="300">
        <f t="shared" si="4"/>
        <v>0</v>
      </c>
      <c r="U16" s="307">
        <f t="shared" si="5"/>
        <v>0.38252459119453652</v>
      </c>
      <c r="V16" s="307">
        <f t="shared" si="6"/>
        <v>0.10943885363052247</v>
      </c>
      <c r="W16" s="307">
        <f t="shared" si="7"/>
        <v>0</v>
      </c>
      <c r="X16" s="308" t="str">
        <f t="shared" si="8"/>
        <v>V</v>
      </c>
      <c r="Y16" s="309"/>
      <c r="Z16" s="310">
        <f>(R16+S16+T16)*'1.0-Contractblad'!$L$37</f>
        <v>4028.0170254327149</v>
      </c>
      <c r="AA16" s="310">
        <f ca="1">VLOOKUP(E16,'1.2-Jaarprijzen'!$B$51:$Q$88,16,FALSE)*K16</f>
        <v>0</v>
      </c>
      <c r="AC16" s="226">
        <f t="shared" si="9"/>
        <v>53923.360000000001</v>
      </c>
      <c r="AD16" s="226" t="str">
        <f t="shared" si="10"/>
        <v>2200-200</v>
      </c>
    </row>
    <row r="17" spans="1:30" ht="12.5">
      <c r="B17" s="336"/>
      <c r="C17" s="337"/>
      <c r="D17" s="302">
        <f>VLOOKUP(E17,'1.2-Jaarprijzen'!B:G,6,FALSE)</f>
        <v>1</v>
      </c>
      <c r="E17" s="522" t="s">
        <v>79</v>
      </c>
      <c r="F17" s="302" t="s">
        <v>201</v>
      </c>
      <c r="G17" s="525" t="s">
        <v>211</v>
      </c>
      <c r="H17" s="523" t="s">
        <v>212</v>
      </c>
      <c r="I17" s="303" t="str">
        <f t="shared" si="0"/>
        <v>trappenhuis</v>
      </c>
      <c r="J17" s="302" t="s">
        <v>213</v>
      </c>
      <c r="K17" s="304">
        <v>12.299999999999999</v>
      </c>
      <c r="L17" s="304"/>
      <c r="M17" s="305">
        <v>9200</v>
      </c>
      <c r="N17" s="302"/>
      <c r="O17" s="306">
        <f t="shared" si="1"/>
        <v>200</v>
      </c>
      <c r="P17" s="472">
        <v>1</v>
      </c>
      <c r="Q17" s="472">
        <v>1</v>
      </c>
      <c r="R17" s="300">
        <f t="shared" si="2"/>
        <v>8.6804443996471417</v>
      </c>
      <c r="S17" s="300">
        <f t="shared" si="3"/>
        <v>0.54095523070264795</v>
      </c>
      <c r="T17" s="300">
        <f t="shared" si="4"/>
        <v>0</v>
      </c>
      <c r="U17" s="307">
        <f t="shared" si="5"/>
        <v>0.70572718696318226</v>
      </c>
      <c r="V17" s="307">
        <f t="shared" si="6"/>
        <v>4.3980100057125854E-2</v>
      </c>
      <c r="W17" s="307">
        <f t="shared" si="7"/>
        <v>0</v>
      </c>
      <c r="X17" s="308" t="str">
        <f t="shared" si="8"/>
        <v>V</v>
      </c>
      <c r="Y17" s="309" t="s">
        <v>214</v>
      </c>
      <c r="Z17" s="310">
        <f>(R17+S17+T17)*'1.0-Contractblad'!$L$37</f>
        <v>280.03244826701649</v>
      </c>
      <c r="AA17" s="310">
        <f ca="1">VLOOKUP(E17,'1.2-Jaarprijzen'!$B$51:$Q$88,16,FALSE)*K17</f>
        <v>0</v>
      </c>
      <c r="AC17" s="226">
        <f t="shared" si="9"/>
        <v>2460</v>
      </c>
      <c r="AD17" s="226" t="str">
        <f t="shared" si="10"/>
        <v>9200-200</v>
      </c>
    </row>
    <row r="18" spans="1:30" ht="12.5">
      <c r="B18" s="336"/>
      <c r="C18" s="337"/>
      <c r="D18" s="302">
        <f>VLOOKUP(E18,'1.2-Jaarprijzen'!B:G,6,FALSE)</f>
        <v>1</v>
      </c>
      <c r="E18" s="522" t="s">
        <v>79</v>
      </c>
      <c r="F18" s="302" t="s">
        <v>201</v>
      </c>
      <c r="G18" s="525" t="s">
        <v>215</v>
      </c>
      <c r="H18" s="523" t="s">
        <v>212</v>
      </c>
      <c r="I18" s="303" t="str">
        <f t="shared" ref="I18:I73" si="11">IF($M18="",0,VLOOKUP($M18,Kengetal,4,FALSE))</f>
        <v>trappenhuis</v>
      </c>
      <c r="J18" s="302" t="s">
        <v>213</v>
      </c>
      <c r="K18" s="304">
        <v>12.299999999999999</v>
      </c>
      <c r="L18" s="304"/>
      <c r="M18" s="305">
        <v>9200</v>
      </c>
      <c r="N18" s="302"/>
      <c r="O18" s="306">
        <f t="shared" si="1"/>
        <v>200</v>
      </c>
      <c r="P18" s="472">
        <v>1</v>
      </c>
      <c r="Q18" s="472">
        <v>1</v>
      </c>
      <c r="R18" s="300">
        <f t="shared" si="2"/>
        <v>8.6804443996471417</v>
      </c>
      <c r="S18" s="300">
        <f t="shared" si="3"/>
        <v>0.54095523070264795</v>
      </c>
      <c r="T18" s="300">
        <f t="shared" si="4"/>
        <v>0</v>
      </c>
      <c r="U18" s="307">
        <f t="shared" si="5"/>
        <v>0.70572718696318226</v>
      </c>
      <c r="V18" s="307">
        <f t="shared" si="6"/>
        <v>4.3980100057125854E-2</v>
      </c>
      <c r="W18" s="307">
        <f t="shared" si="7"/>
        <v>0</v>
      </c>
      <c r="X18" s="308" t="str">
        <f t="shared" si="8"/>
        <v>V</v>
      </c>
      <c r="Y18" s="309" t="s">
        <v>214</v>
      </c>
      <c r="Z18" s="310">
        <f>(R18+S18+T18)*'1.0-Contractblad'!$L$37</f>
        <v>280.03244826701649</v>
      </c>
      <c r="AA18" s="310">
        <f ca="1">VLOOKUP(E18,'1.2-Jaarprijzen'!$B$51:$Q$88,16,FALSE)*K18</f>
        <v>0</v>
      </c>
      <c r="AC18" s="226">
        <f t="shared" si="9"/>
        <v>2460</v>
      </c>
      <c r="AD18" s="226" t="str">
        <f t="shared" si="10"/>
        <v>9200-200</v>
      </c>
    </row>
    <row r="19" spans="1:30" ht="12.5">
      <c r="B19" s="336"/>
      <c r="C19" s="337"/>
      <c r="D19" s="302">
        <f>VLOOKUP(E19,'1.2-Jaarprijzen'!B:G,6,FALSE)</f>
        <v>1</v>
      </c>
      <c r="E19" s="522" t="s">
        <v>79</v>
      </c>
      <c r="F19" s="302" t="s">
        <v>201</v>
      </c>
      <c r="G19" s="525" t="s">
        <v>216</v>
      </c>
      <c r="H19" s="523" t="s">
        <v>217</v>
      </c>
      <c r="I19" s="303" t="str">
        <f t="shared" si="11"/>
        <v>leslokaal/leerplein</v>
      </c>
      <c r="J19" s="302" t="s">
        <v>218</v>
      </c>
      <c r="K19" s="304">
        <v>55.05</v>
      </c>
      <c r="L19" s="304"/>
      <c r="M19" s="305">
        <v>7200</v>
      </c>
      <c r="N19" s="302"/>
      <c r="O19" s="306">
        <f t="shared" si="1"/>
        <v>200</v>
      </c>
      <c r="P19" s="472">
        <v>1</v>
      </c>
      <c r="Q19" s="472">
        <v>1</v>
      </c>
      <c r="R19" s="300">
        <f t="shared" si="2"/>
        <v>28.795384615384616</v>
      </c>
      <c r="S19" s="300">
        <f t="shared" si="3"/>
        <v>5.0815384615384618</v>
      </c>
      <c r="T19" s="300">
        <f t="shared" si="4"/>
        <v>0</v>
      </c>
      <c r="U19" s="307">
        <f t="shared" si="5"/>
        <v>0.52307692307692311</v>
      </c>
      <c r="V19" s="307">
        <f t="shared" si="6"/>
        <v>9.2307692307692313E-2</v>
      </c>
      <c r="W19" s="307">
        <f t="shared" si="7"/>
        <v>0</v>
      </c>
      <c r="X19" s="308" t="str">
        <f t="shared" si="8"/>
        <v>L</v>
      </c>
      <c r="Y19" s="309"/>
      <c r="Z19" s="310">
        <f>(R19+S19+T19)*'1.0-Contractblad'!$L$37</f>
        <v>1028.7633211081545</v>
      </c>
      <c r="AA19" s="310">
        <f ca="1">VLOOKUP(E19,'1.2-Jaarprijzen'!$B$51:$Q$88,16,FALSE)*K19</f>
        <v>0</v>
      </c>
      <c r="AC19" s="226">
        <f t="shared" si="9"/>
        <v>11010</v>
      </c>
      <c r="AD19" s="226" t="str">
        <f t="shared" si="10"/>
        <v>7200-200</v>
      </c>
    </row>
    <row r="20" spans="1:30" ht="12.5">
      <c r="B20" s="336"/>
      <c r="C20" s="337"/>
      <c r="D20" s="302">
        <f>VLOOKUP(E20,'1.2-Jaarprijzen'!B:G,6,FALSE)</f>
        <v>1</v>
      </c>
      <c r="E20" s="522" t="s">
        <v>79</v>
      </c>
      <c r="F20" s="302" t="s">
        <v>201</v>
      </c>
      <c r="G20" s="525" t="s">
        <v>219</v>
      </c>
      <c r="H20" s="523" t="s">
        <v>220</v>
      </c>
      <c r="I20" s="303" t="str">
        <f t="shared" si="11"/>
        <v>sanitaire ruimte (toilet-/doucheruimte)</v>
      </c>
      <c r="J20" s="302" t="s">
        <v>221</v>
      </c>
      <c r="K20" s="304">
        <v>5.4740000000000002</v>
      </c>
      <c r="L20" s="304"/>
      <c r="M20" s="305">
        <v>4200</v>
      </c>
      <c r="N20" s="302"/>
      <c r="O20" s="306">
        <f t="shared" si="1"/>
        <v>200</v>
      </c>
      <c r="P20" s="472">
        <v>1</v>
      </c>
      <c r="Q20" s="472">
        <v>1</v>
      </c>
      <c r="R20" s="300">
        <f t="shared" si="2"/>
        <v>14.670975878921645</v>
      </c>
      <c r="S20" s="300">
        <f t="shared" si="3"/>
        <v>2.588995743339114</v>
      </c>
      <c r="T20" s="300">
        <f t="shared" si="4"/>
        <v>0</v>
      </c>
      <c r="U20" s="307">
        <f t="shared" si="5"/>
        <v>2.6801198171212359</v>
      </c>
      <c r="V20" s="307">
        <f t="shared" si="6"/>
        <v>0.4729623206684534</v>
      </c>
      <c r="W20" s="307">
        <f t="shared" si="7"/>
        <v>0</v>
      </c>
      <c r="X20" s="308" t="str">
        <f t="shared" si="8"/>
        <v>S</v>
      </c>
      <c r="Y20" s="309"/>
      <c r="Z20" s="310">
        <f>(R20+S20+T20)*'1.0-Contractblad'!$L$37</f>
        <v>524.14517363429445</v>
      </c>
      <c r="AA20" s="310">
        <f ca="1">VLOOKUP(E20,'1.2-Jaarprijzen'!$B$51:$Q$88,16,FALSE)*K20</f>
        <v>0</v>
      </c>
      <c r="AC20" s="226">
        <f t="shared" si="9"/>
        <v>1094.8</v>
      </c>
      <c r="AD20" s="226" t="str">
        <f t="shared" si="10"/>
        <v>4200-200</v>
      </c>
    </row>
    <row r="21" spans="1:30" ht="12.5">
      <c r="B21" s="336"/>
      <c r="C21" s="337"/>
      <c r="D21" s="302">
        <f>VLOOKUP(E21,'1.2-Jaarprijzen'!B:G,6,FALSE)</f>
        <v>1</v>
      </c>
      <c r="E21" s="522" t="s">
        <v>79</v>
      </c>
      <c r="F21" s="302" t="s">
        <v>201</v>
      </c>
      <c r="G21" s="525" t="s">
        <v>222</v>
      </c>
      <c r="H21" s="523" t="s">
        <v>223</v>
      </c>
      <c r="I21" s="303" t="str">
        <f t="shared" si="11"/>
        <v>leslokaal/leerplein</v>
      </c>
      <c r="J21" s="302" t="s">
        <v>218</v>
      </c>
      <c r="K21" s="304">
        <v>48.304999999999993</v>
      </c>
      <c r="L21" s="304"/>
      <c r="M21" s="305">
        <v>7200</v>
      </c>
      <c r="N21" s="302"/>
      <c r="O21" s="306">
        <f t="shared" si="1"/>
        <v>200</v>
      </c>
      <c r="P21" s="472">
        <v>1</v>
      </c>
      <c r="Q21" s="472">
        <v>1</v>
      </c>
      <c r="R21" s="300">
        <f t="shared" si="2"/>
        <v>25.267230769230768</v>
      </c>
      <c r="S21" s="300">
        <f t="shared" si="3"/>
        <v>4.4589230769230763</v>
      </c>
      <c r="T21" s="300">
        <f t="shared" si="4"/>
        <v>0</v>
      </c>
      <c r="U21" s="307">
        <f t="shared" si="5"/>
        <v>0.52307692307692311</v>
      </c>
      <c r="V21" s="307">
        <f t="shared" si="6"/>
        <v>9.2307692307692313E-2</v>
      </c>
      <c r="W21" s="307">
        <f t="shared" si="7"/>
        <v>0</v>
      </c>
      <c r="X21" s="308" t="str">
        <f t="shared" si="8"/>
        <v>L</v>
      </c>
      <c r="Y21" s="309"/>
      <c r="Z21" s="310">
        <f>(R21+S21+T21)*'1.0-Contractblad'!$L$37</f>
        <v>902.71411854912617</v>
      </c>
      <c r="AA21" s="310">
        <f ca="1">VLOOKUP(E21,'1.2-Jaarprijzen'!$B$51:$Q$88,16,FALSE)*K21</f>
        <v>0</v>
      </c>
      <c r="AC21" s="226">
        <f t="shared" si="9"/>
        <v>9660.9999999999982</v>
      </c>
      <c r="AD21" s="226" t="str">
        <f t="shared" si="10"/>
        <v>7200-200</v>
      </c>
    </row>
    <row r="22" spans="1:30" ht="12.5">
      <c r="B22" s="336"/>
      <c r="C22" s="337"/>
      <c r="D22" s="302">
        <f>VLOOKUP(E22,'1.2-Jaarprijzen'!B:G,6,FALSE)</f>
        <v>1</v>
      </c>
      <c r="E22" s="522" t="s">
        <v>79</v>
      </c>
      <c r="F22" s="302" t="s">
        <v>201</v>
      </c>
      <c r="G22" s="525" t="s">
        <v>224</v>
      </c>
      <c r="H22" s="523" t="s">
        <v>225</v>
      </c>
      <c r="I22" s="303" t="str">
        <f t="shared" si="11"/>
        <v>leslokaal/leerplein</v>
      </c>
      <c r="J22" s="302" t="s">
        <v>218</v>
      </c>
      <c r="K22" s="304">
        <v>48.304999999999993</v>
      </c>
      <c r="L22" s="304"/>
      <c r="M22" s="305">
        <v>7200</v>
      </c>
      <c r="N22" s="302"/>
      <c r="O22" s="306">
        <f t="shared" si="1"/>
        <v>200</v>
      </c>
      <c r="P22" s="472">
        <v>1</v>
      </c>
      <c r="Q22" s="472">
        <v>1</v>
      </c>
      <c r="R22" s="300">
        <f t="shared" si="2"/>
        <v>25.267230769230768</v>
      </c>
      <c r="S22" s="300">
        <f t="shared" si="3"/>
        <v>4.4589230769230763</v>
      </c>
      <c r="T22" s="300">
        <f t="shared" si="4"/>
        <v>0</v>
      </c>
      <c r="U22" s="307">
        <f t="shared" si="5"/>
        <v>0.52307692307692311</v>
      </c>
      <c r="V22" s="307">
        <f t="shared" si="6"/>
        <v>9.2307692307692313E-2</v>
      </c>
      <c r="W22" s="307">
        <f t="shared" si="7"/>
        <v>0</v>
      </c>
      <c r="X22" s="308" t="str">
        <f t="shared" si="8"/>
        <v>L</v>
      </c>
      <c r="Y22" s="309"/>
      <c r="Z22" s="310">
        <f>(R22+S22+T22)*'1.0-Contractblad'!$L$37</f>
        <v>902.71411854912617</v>
      </c>
      <c r="AA22" s="310">
        <f ca="1">VLOOKUP(E22,'1.2-Jaarprijzen'!$B$51:$Q$88,16,FALSE)*K22</f>
        <v>0</v>
      </c>
      <c r="AC22" s="226">
        <f t="shared" si="9"/>
        <v>9660.9999999999982</v>
      </c>
      <c r="AD22" s="226" t="str">
        <f t="shared" si="10"/>
        <v>7200-200</v>
      </c>
    </row>
    <row r="23" spans="1:30" ht="12.5">
      <c r="A23" s="276"/>
      <c r="B23" s="336"/>
      <c r="C23" s="337"/>
      <c r="D23" s="302">
        <f>VLOOKUP(E23,'1.2-Jaarprijzen'!B:G,6,FALSE)</f>
        <v>1</v>
      </c>
      <c r="E23" s="522" t="s">
        <v>79</v>
      </c>
      <c r="F23" s="302" t="s">
        <v>201</v>
      </c>
      <c r="G23" s="525" t="s">
        <v>226</v>
      </c>
      <c r="H23" s="523" t="s">
        <v>220</v>
      </c>
      <c r="I23" s="303" t="str">
        <f t="shared" ref="I23:I65" si="12">IF($M23="",0,VLOOKUP($M23,Kengetal,4,FALSE))</f>
        <v>sanitaire ruimte (toilet-/doucheruimte)</v>
      </c>
      <c r="J23" s="302" t="s">
        <v>221</v>
      </c>
      <c r="K23" s="304">
        <v>5.4740000000000002</v>
      </c>
      <c r="L23" s="304"/>
      <c r="M23" s="305">
        <v>4200</v>
      </c>
      <c r="N23" s="302"/>
      <c r="O23" s="306">
        <f t="shared" si="1"/>
        <v>200</v>
      </c>
      <c r="P23" s="472">
        <v>1</v>
      </c>
      <c r="Q23" s="472">
        <v>1</v>
      </c>
      <c r="R23" s="300">
        <f t="shared" si="2"/>
        <v>14.670975878921645</v>
      </c>
      <c r="S23" s="300">
        <f t="shared" si="3"/>
        <v>2.588995743339114</v>
      </c>
      <c r="T23" s="300">
        <f t="shared" si="4"/>
        <v>0</v>
      </c>
      <c r="U23" s="307">
        <f t="shared" si="5"/>
        <v>2.6801198171212359</v>
      </c>
      <c r="V23" s="307">
        <f t="shared" si="6"/>
        <v>0.4729623206684534</v>
      </c>
      <c r="W23" s="307">
        <f t="shared" si="7"/>
        <v>0</v>
      </c>
      <c r="X23" s="308" t="str">
        <f t="shared" si="8"/>
        <v>S</v>
      </c>
      <c r="Y23" s="309"/>
      <c r="Z23" s="310">
        <f>(R23+S23+T23)*'1.0-Contractblad'!$L$37</f>
        <v>524.14517363429445</v>
      </c>
      <c r="AA23" s="310">
        <f ca="1">VLOOKUP(E23,'1.2-Jaarprijzen'!$B$51:$Q$88,16,FALSE)*K23</f>
        <v>0</v>
      </c>
      <c r="AC23" s="226">
        <f t="shared" si="9"/>
        <v>1094.8</v>
      </c>
      <c r="AD23" s="226" t="str">
        <f t="shared" si="10"/>
        <v>4200-200</v>
      </c>
    </row>
    <row r="24" spans="1:30" ht="12.5">
      <c r="A24" s="276"/>
      <c r="B24" s="336"/>
      <c r="C24" s="337"/>
      <c r="D24" s="302">
        <f>VLOOKUP(E24,'1.2-Jaarprijzen'!B:G,6,FALSE)</f>
        <v>1</v>
      </c>
      <c r="E24" s="522" t="s">
        <v>79</v>
      </c>
      <c r="F24" s="302" t="s">
        <v>201</v>
      </c>
      <c r="G24" s="525" t="s">
        <v>227</v>
      </c>
      <c r="H24" s="523" t="s">
        <v>228</v>
      </c>
      <c r="I24" s="303" t="str">
        <f t="shared" si="12"/>
        <v>pantry/keuken</v>
      </c>
      <c r="J24" s="302" t="s">
        <v>229</v>
      </c>
      <c r="K24" s="304">
        <v>48.304999999999993</v>
      </c>
      <c r="L24" s="304"/>
      <c r="M24" s="305">
        <v>5200</v>
      </c>
      <c r="N24" s="302"/>
      <c r="O24" s="306">
        <f t="shared" si="1"/>
        <v>200</v>
      </c>
      <c r="P24" s="472">
        <v>1</v>
      </c>
      <c r="Q24" s="472">
        <v>1</v>
      </c>
      <c r="R24" s="300">
        <f t="shared" si="2"/>
        <v>24.801820560377926</v>
      </c>
      <c r="S24" s="300">
        <f t="shared" si="3"/>
        <v>5.1188750834525036</v>
      </c>
      <c r="T24" s="300">
        <f t="shared" si="4"/>
        <v>0</v>
      </c>
      <c r="U24" s="307">
        <f t="shared" si="5"/>
        <v>0.5134420983413297</v>
      </c>
      <c r="V24" s="307">
        <f t="shared" si="6"/>
        <v>0.10596988062214066</v>
      </c>
      <c r="W24" s="307">
        <f t="shared" si="7"/>
        <v>0</v>
      </c>
      <c r="X24" s="308" t="str">
        <f t="shared" si="8"/>
        <v>V</v>
      </c>
      <c r="Y24" s="309"/>
      <c r="Z24" s="310">
        <f>(R24+S24+T24)*'1.0-Contractblad'!$L$37</f>
        <v>908.62190023926598</v>
      </c>
      <c r="AA24" s="310">
        <f ca="1">VLOOKUP(E24,'1.2-Jaarprijzen'!$B$51:$Q$88,16,FALSE)*K24</f>
        <v>0</v>
      </c>
      <c r="AC24" s="226">
        <f t="shared" si="9"/>
        <v>9660.9999999999982</v>
      </c>
      <c r="AD24" s="226" t="str">
        <f t="shared" si="10"/>
        <v>5200-200</v>
      </c>
    </row>
    <row r="25" spans="1:30" ht="12.5">
      <c r="A25" s="276"/>
      <c r="B25" s="336"/>
      <c r="C25" s="337"/>
      <c r="D25" s="302">
        <f>VLOOKUP(E25,'1.2-Jaarprijzen'!B:G,6,FALSE)</f>
        <v>1</v>
      </c>
      <c r="E25" s="522" t="s">
        <v>79</v>
      </c>
      <c r="F25" s="302" t="s">
        <v>201</v>
      </c>
      <c r="G25" s="525" t="s">
        <v>230</v>
      </c>
      <c r="H25" s="524" t="s">
        <v>231</v>
      </c>
      <c r="I25" s="303" t="str">
        <f t="shared" si="12"/>
        <v>leslokaal/leerplein</v>
      </c>
      <c r="J25" s="302" t="s">
        <v>218</v>
      </c>
      <c r="K25" s="304">
        <v>48.304999999999993</v>
      </c>
      <c r="L25" s="304"/>
      <c r="M25" s="305">
        <v>7200</v>
      </c>
      <c r="N25" s="302"/>
      <c r="O25" s="306">
        <f t="shared" si="1"/>
        <v>200</v>
      </c>
      <c r="P25" s="472">
        <v>1</v>
      </c>
      <c r="Q25" s="472">
        <v>1</v>
      </c>
      <c r="R25" s="300">
        <f t="shared" si="2"/>
        <v>25.267230769230768</v>
      </c>
      <c r="S25" s="300">
        <f t="shared" si="3"/>
        <v>4.4589230769230763</v>
      </c>
      <c r="T25" s="300">
        <f t="shared" si="4"/>
        <v>0</v>
      </c>
      <c r="U25" s="307">
        <f t="shared" si="5"/>
        <v>0.52307692307692311</v>
      </c>
      <c r="V25" s="307">
        <f t="shared" si="6"/>
        <v>9.2307692307692313E-2</v>
      </c>
      <c r="W25" s="307">
        <f t="shared" si="7"/>
        <v>0</v>
      </c>
      <c r="X25" s="308" t="str">
        <f t="shared" si="8"/>
        <v>L</v>
      </c>
      <c r="Y25" s="309"/>
      <c r="Z25" s="310">
        <f>(R25+S25+T25)*'1.0-Contractblad'!$L$37</f>
        <v>902.71411854912617</v>
      </c>
      <c r="AA25" s="310">
        <f ca="1">VLOOKUP(E25,'1.2-Jaarprijzen'!$B$51:$Q$88,16,FALSE)*K25</f>
        <v>0</v>
      </c>
      <c r="AC25" s="226">
        <f t="shared" si="9"/>
        <v>9660.9999999999982</v>
      </c>
      <c r="AD25" s="226" t="str">
        <f t="shared" si="10"/>
        <v>7200-200</v>
      </c>
    </row>
    <row r="26" spans="1:30" ht="12.5">
      <c r="A26" s="276"/>
      <c r="B26" s="336"/>
      <c r="C26" s="337"/>
      <c r="D26" s="302">
        <f>VLOOKUP(E26,'1.2-Jaarprijzen'!B:G,6,FALSE)</f>
        <v>1</v>
      </c>
      <c r="E26" s="522" t="s">
        <v>79</v>
      </c>
      <c r="F26" s="302" t="s">
        <v>201</v>
      </c>
      <c r="G26" s="525" t="s">
        <v>232</v>
      </c>
      <c r="H26" s="523" t="s">
        <v>220</v>
      </c>
      <c r="I26" s="303" t="str">
        <f t="shared" si="12"/>
        <v>sanitaire ruimte (toilet-/doucheruimte)</v>
      </c>
      <c r="J26" s="302" t="s">
        <v>221</v>
      </c>
      <c r="K26" s="304">
        <v>5.4740000000000002</v>
      </c>
      <c r="L26" s="304"/>
      <c r="M26" s="305">
        <v>4200</v>
      </c>
      <c r="N26" s="302"/>
      <c r="O26" s="306">
        <f t="shared" si="1"/>
        <v>200</v>
      </c>
      <c r="P26" s="472">
        <v>1</v>
      </c>
      <c r="Q26" s="472">
        <v>1</v>
      </c>
      <c r="R26" s="300">
        <f t="shared" si="2"/>
        <v>14.670975878921645</v>
      </c>
      <c r="S26" s="300">
        <f t="shared" si="3"/>
        <v>2.588995743339114</v>
      </c>
      <c r="T26" s="300">
        <f t="shared" si="4"/>
        <v>0</v>
      </c>
      <c r="U26" s="307">
        <f t="shared" si="5"/>
        <v>2.6801198171212359</v>
      </c>
      <c r="V26" s="307">
        <f t="shared" si="6"/>
        <v>0.4729623206684534</v>
      </c>
      <c r="W26" s="307">
        <f t="shared" si="7"/>
        <v>0</v>
      </c>
      <c r="X26" s="308" t="str">
        <f t="shared" si="8"/>
        <v>S</v>
      </c>
      <c r="Y26" s="309"/>
      <c r="Z26" s="310">
        <f>(R26+S26+T26)*'1.0-Contractblad'!$L$37</f>
        <v>524.14517363429445</v>
      </c>
      <c r="AA26" s="310">
        <f ca="1">VLOOKUP(E26,'1.2-Jaarprijzen'!$B$51:$Q$88,16,FALSE)*K26</f>
        <v>0</v>
      </c>
      <c r="AC26" s="226">
        <f t="shared" si="9"/>
        <v>1094.8</v>
      </c>
      <c r="AD26" s="226" t="str">
        <f t="shared" si="10"/>
        <v>4200-200</v>
      </c>
    </row>
    <row r="27" spans="1:30" ht="12.5">
      <c r="A27" s="276"/>
      <c r="B27" s="336"/>
      <c r="C27" s="337"/>
      <c r="D27" s="302">
        <f>VLOOKUP(E27,'1.2-Jaarprijzen'!B:G,6,FALSE)</f>
        <v>1</v>
      </c>
      <c r="E27" s="522" t="s">
        <v>79</v>
      </c>
      <c r="F27" s="302" t="s">
        <v>201</v>
      </c>
      <c r="G27" s="525" t="s">
        <v>233</v>
      </c>
      <c r="H27" s="523" t="s">
        <v>234</v>
      </c>
      <c r="I27" s="303" t="str">
        <f t="shared" si="12"/>
        <v>leslokaal/leerplein</v>
      </c>
      <c r="J27" s="302" t="s">
        <v>218</v>
      </c>
      <c r="K27" s="304">
        <v>48.304999999999993</v>
      </c>
      <c r="L27" s="304"/>
      <c r="M27" s="305">
        <v>7200</v>
      </c>
      <c r="N27" s="302"/>
      <c r="O27" s="306">
        <f t="shared" si="1"/>
        <v>200</v>
      </c>
      <c r="P27" s="472">
        <v>1</v>
      </c>
      <c r="Q27" s="472">
        <v>1</v>
      </c>
      <c r="R27" s="300">
        <f t="shared" si="2"/>
        <v>25.267230769230768</v>
      </c>
      <c r="S27" s="300">
        <f t="shared" si="3"/>
        <v>4.4589230769230763</v>
      </c>
      <c r="T27" s="300">
        <f t="shared" si="4"/>
        <v>0</v>
      </c>
      <c r="U27" s="307">
        <f t="shared" si="5"/>
        <v>0.52307692307692311</v>
      </c>
      <c r="V27" s="307">
        <f t="shared" si="6"/>
        <v>9.2307692307692313E-2</v>
      </c>
      <c r="W27" s="307">
        <f t="shared" si="7"/>
        <v>0</v>
      </c>
      <c r="X27" s="308" t="str">
        <f t="shared" si="8"/>
        <v>L</v>
      </c>
      <c r="Y27" s="309"/>
      <c r="Z27" s="310">
        <f>(R27+S27+T27)*'1.0-Contractblad'!$L$37</f>
        <v>902.71411854912617</v>
      </c>
      <c r="AA27" s="310">
        <f ca="1">VLOOKUP(E27,'1.2-Jaarprijzen'!$B$51:$Q$88,16,FALSE)*K27</f>
        <v>0</v>
      </c>
      <c r="AC27" s="226">
        <f t="shared" si="9"/>
        <v>9660.9999999999982</v>
      </c>
      <c r="AD27" s="226" t="str">
        <f t="shared" si="10"/>
        <v>7200-200</v>
      </c>
    </row>
    <row r="28" spans="1:30" ht="12.5">
      <c r="A28" s="276"/>
      <c r="B28" s="336"/>
      <c r="C28" s="337"/>
      <c r="D28" s="302">
        <f>VLOOKUP(E28,'1.2-Jaarprijzen'!B:G,6,FALSE)</f>
        <v>1</v>
      </c>
      <c r="E28" s="522" t="s">
        <v>79</v>
      </c>
      <c r="F28" s="302" t="s">
        <v>201</v>
      </c>
      <c r="G28" s="525" t="s">
        <v>178</v>
      </c>
      <c r="H28" s="523" t="s">
        <v>235</v>
      </c>
      <c r="I28" s="303" t="str">
        <f t="shared" si="12"/>
        <v>leslokaal/leerplein</v>
      </c>
      <c r="J28" s="302" t="s">
        <v>218</v>
      </c>
      <c r="K28" s="304">
        <v>48.304999999999993</v>
      </c>
      <c r="L28" s="304"/>
      <c r="M28" s="305">
        <v>7200</v>
      </c>
      <c r="N28" s="302"/>
      <c r="O28" s="306">
        <f t="shared" si="1"/>
        <v>200</v>
      </c>
      <c r="P28" s="472">
        <v>1</v>
      </c>
      <c r="Q28" s="472">
        <v>1</v>
      </c>
      <c r="R28" s="300">
        <f t="shared" si="2"/>
        <v>25.267230769230768</v>
      </c>
      <c r="S28" s="300">
        <f t="shared" si="3"/>
        <v>4.4589230769230763</v>
      </c>
      <c r="T28" s="300">
        <f t="shared" si="4"/>
        <v>0</v>
      </c>
      <c r="U28" s="307">
        <f t="shared" si="5"/>
        <v>0.52307692307692311</v>
      </c>
      <c r="V28" s="307">
        <f t="shared" si="6"/>
        <v>9.2307692307692313E-2</v>
      </c>
      <c r="W28" s="307">
        <f t="shared" si="7"/>
        <v>0</v>
      </c>
      <c r="X28" s="308" t="str">
        <f t="shared" si="8"/>
        <v>L</v>
      </c>
      <c r="Y28" s="309"/>
      <c r="Z28" s="310">
        <f>(R28+S28+T28)*'1.0-Contractblad'!$L$37</f>
        <v>902.71411854912617</v>
      </c>
      <c r="AA28" s="310">
        <f ca="1">VLOOKUP(E28,'1.2-Jaarprijzen'!$B$51:$Q$88,16,FALSE)*K28</f>
        <v>0</v>
      </c>
      <c r="AC28" s="226">
        <f t="shared" si="9"/>
        <v>9660.9999999999982</v>
      </c>
      <c r="AD28" s="226" t="str">
        <f t="shared" si="10"/>
        <v>7200-200</v>
      </c>
    </row>
    <row r="29" spans="1:30" ht="12.5">
      <c r="A29" s="276"/>
      <c r="B29" s="336"/>
      <c r="C29" s="337"/>
      <c r="D29" s="302">
        <f>VLOOKUP(E29,'1.2-Jaarprijzen'!B:G,6,FALSE)</f>
        <v>1</v>
      </c>
      <c r="E29" s="522" t="s">
        <v>79</v>
      </c>
      <c r="F29" s="302" t="s">
        <v>201</v>
      </c>
      <c r="G29" s="525" t="s">
        <v>236</v>
      </c>
      <c r="H29" s="523" t="s">
        <v>220</v>
      </c>
      <c r="I29" s="303" t="str">
        <f t="shared" si="12"/>
        <v>sanitaire ruimte (toilet-/doucheruimte)</v>
      </c>
      <c r="J29" s="302" t="s">
        <v>221</v>
      </c>
      <c r="K29" s="304">
        <v>5.4740000000000002</v>
      </c>
      <c r="L29" s="304"/>
      <c r="M29" s="305">
        <v>4200</v>
      </c>
      <c r="N29" s="302"/>
      <c r="O29" s="306">
        <f t="shared" si="1"/>
        <v>200</v>
      </c>
      <c r="P29" s="472">
        <v>1</v>
      </c>
      <c r="Q29" s="472">
        <v>1</v>
      </c>
      <c r="R29" s="300">
        <f t="shared" si="2"/>
        <v>14.670975878921645</v>
      </c>
      <c r="S29" s="300">
        <f t="shared" si="3"/>
        <v>2.588995743339114</v>
      </c>
      <c r="T29" s="300">
        <f t="shared" si="4"/>
        <v>0</v>
      </c>
      <c r="U29" s="307">
        <f t="shared" si="5"/>
        <v>2.6801198171212359</v>
      </c>
      <c r="V29" s="307">
        <f t="shared" si="6"/>
        <v>0.4729623206684534</v>
      </c>
      <c r="W29" s="307">
        <f t="shared" si="7"/>
        <v>0</v>
      </c>
      <c r="X29" s="308" t="str">
        <f t="shared" si="8"/>
        <v>S</v>
      </c>
      <c r="Y29" s="309"/>
      <c r="Z29" s="310">
        <f>(R29+S29+T29)*'1.0-Contractblad'!$L$37</f>
        <v>524.14517363429445</v>
      </c>
      <c r="AA29" s="310">
        <f ca="1">VLOOKUP(E29,'1.2-Jaarprijzen'!$B$51:$Q$88,16,FALSE)*K29</f>
        <v>0</v>
      </c>
      <c r="AC29" s="226">
        <f t="shared" si="9"/>
        <v>1094.8</v>
      </c>
      <c r="AD29" s="226" t="str">
        <f t="shared" si="10"/>
        <v>4200-200</v>
      </c>
    </row>
    <row r="30" spans="1:30" ht="12.5">
      <c r="A30" s="276"/>
      <c r="B30" s="336"/>
      <c r="C30" s="337"/>
      <c r="D30" s="302">
        <f>VLOOKUP(E30,'1.2-Jaarprijzen'!B:G,6,FALSE)</f>
        <v>1</v>
      </c>
      <c r="E30" s="522" t="s">
        <v>79</v>
      </c>
      <c r="F30" s="302" t="s">
        <v>201</v>
      </c>
      <c r="G30" s="525" t="s">
        <v>237</v>
      </c>
      <c r="H30" s="523" t="s">
        <v>238</v>
      </c>
      <c r="I30" s="303" t="str">
        <f t="shared" si="12"/>
        <v>leslokaal/leerplein</v>
      </c>
      <c r="J30" s="302" t="s">
        <v>218</v>
      </c>
      <c r="K30" s="304">
        <v>48.304999999999993</v>
      </c>
      <c r="L30" s="304"/>
      <c r="M30" s="305">
        <v>7200</v>
      </c>
      <c r="N30" s="302"/>
      <c r="O30" s="306">
        <f t="shared" si="1"/>
        <v>200</v>
      </c>
      <c r="P30" s="472">
        <v>1</v>
      </c>
      <c r="Q30" s="472">
        <v>1</v>
      </c>
      <c r="R30" s="300">
        <f t="shared" si="2"/>
        <v>25.267230769230768</v>
      </c>
      <c r="S30" s="300">
        <f t="shared" si="3"/>
        <v>4.4589230769230763</v>
      </c>
      <c r="T30" s="300">
        <f t="shared" si="4"/>
        <v>0</v>
      </c>
      <c r="U30" s="307">
        <f t="shared" si="5"/>
        <v>0.52307692307692311</v>
      </c>
      <c r="V30" s="307">
        <f t="shared" si="6"/>
        <v>9.2307692307692313E-2</v>
      </c>
      <c r="W30" s="307">
        <f t="shared" si="7"/>
        <v>0</v>
      </c>
      <c r="X30" s="308" t="str">
        <f t="shared" si="8"/>
        <v>L</v>
      </c>
      <c r="Y30" s="309"/>
      <c r="Z30" s="310">
        <f>(R30+S30+T30)*'1.0-Contractblad'!$L$37</f>
        <v>902.71411854912617</v>
      </c>
      <c r="AA30" s="310">
        <f ca="1">VLOOKUP(E30,'1.2-Jaarprijzen'!$B$51:$Q$88,16,FALSE)*K30</f>
        <v>0</v>
      </c>
      <c r="AC30" s="226">
        <f t="shared" si="9"/>
        <v>9660.9999999999982</v>
      </c>
      <c r="AD30" s="226" t="str">
        <f t="shared" si="10"/>
        <v>7200-200</v>
      </c>
    </row>
    <row r="31" spans="1:30" ht="12.5">
      <c r="A31" s="276"/>
      <c r="B31" s="336"/>
      <c r="C31" s="337"/>
      <c r="D31" s="302">
        <f>VLOOKUP(E31,'1.2-Jaarprijzen'!B:G,6,FALSE)</f>
        <v>1</v>
      </c>
      <c r="E31" s="522" t="s">
        <v>79</v>
      </c>
      <c r="F31" s="302" t="s">
        <v>201</v>
      </c>
      <c r="G31" s="525" t="s">
        <v>239</v>
      </c>
      <c r="H31" s="523" t="s">
        <v>240</v>
      </c>
      <c r="I31" s="303" t="str">
        <f t="shared" si="12"/>
        <v>leslokaal/leerplein</v>
      </c>
      <c r="J31" s="302" t="s">
        <v>218</v>
      </c>
      <c r="K31" s="304">
        <v>48.304999999999993</v>
      </c>
      <c r="L31" s="304"/>
      <c r="M31" s="305">
        <v>7200</v>
      </c>
      <c r="N31" s="302"/>
      <c r="O31" s="306">
        <f t="shared" si="1"/>
        <v>200</v>
      </c>
      <c r="P31" s="472">
        <v>1</v>
      </c>
      <c r="Q31" s="472">
        <v>1</v>
      </c>
      <c r="R31" s="300">
        <f t="shared" si="2"/>
        <v>25.267230769230768</v>
      </c>
      <c r="S31" s="300">
        <f t="shared" si="3"/>
        <v>4.4589230769230763</v>
      </c>
      <c r="T31" s="300">
        <f t="shared" si="4"/>
        <v>0</v>
      </c>
      <c r="U31" s="307">
        <f t="shared" ref="U31:U97" si="13">IF($M31=0,0,VLOOKUP($M31,Kengetal,6,FALSE))</f>
        <v>0.52307692307692311</v>
      </c>
      <c r="V31" s="307">
        <f t="shared" ref="V31:V97" si="14">IF($M31=0,0,VLOOKUP($M31,Kengetal,7,FALSE))</f>
        <v>9.2307692307692313E-2</v>
      </c>
      <c r="W31" s="307">
        <f t="shared" ref="W31:W97" si="15">IF($N31=0,0,VLOOKUP($N31,Kengetal,6,FALSE))</f>
        <v>0</v>
      </c>
      <c r="X31" s="308" t="str">
        <f t="shared" si="8"/>
        <v>L</v>
      </c>
      <c r="Y31" s="309"/>
      <c r="Z31" s="310">
        <f>(R31+S31+T31)*'1.0-Contractblad'!$L$37</f>
        <v>902.71411854912617</v>
      </c>
      <c r="AA31" s="310">
        <f ca="1">VLOOKUP(E31,'1.2-Jaarprijzen'!$B$51:$Q$88,16,FALSE)*K31</f>
        <v>0</v>
      </c>
      <c r="AC31" s="226">
        <f t="shared" si="9"/>
        <v>9660.9999999999982</v>
      </c>
      <c r="AD31" s="226" t="str">
        <f t="shared" si="10"/>
        <v>7200-200</v>
      </c>
    </row>
    <row r="32" spans="1:30" ht="12.5">
      <c r="A32" s="276"/>
      <c r="B32" s="336"/>
      <c r="C32" s="337"/>
      <c r="D32" s="302">
        <f>VLOOKUP(E32,'1.2-Jaarprijzen'!B:G,6,FALSE)</f>
        <v>1</v>
      </c>
      <c r="E32" s="522" t="s">
        <v>79</v>
      </c>
      <c r="F32" s="302" t="s">
        <v>201</v>
      </c>
      <c r="G32" s="525" t="s">
        <v>241</v>
      </c>
      <c r="H32" s="523" t="s">
        <v>220</v>
      </c>
      <c r="I32" s="303" t="str">
        <f t="shared" si="12"/>
        <v>sanitaire ruimte (toilet-/doucheruimte)</v>
      </c>
      <c r="J32" s="302" t="s">
        <v>221</v>
      </c>
      <c r="K32" s="304">
        <v>5.4740000000000002</v>
      </c>
      <c r="L32" s="304"/>
      <c r="M32" s="305">
        <v>4200</v>
      </c>
      <c r="N32" s="302"/>
      <c r="O32" s="306">
        <f t="shared" si="1"/>
        <v>200</v>
      </c>
      <c r="P32" s="472">
        <v>1</v>
      </c>
      <c r="Q32" s="472">
        <v>1</v>
      </c>
      <c r="R32" s="300">
        <f t="shared" si="2"/>
        <v>14.670975878921645</v>
      </c>
      <c r="S32" s="300">
        <f t="shared" si="3"/>
        <v>2.588995743339114</v>
      </c>
      <c r="T32" s="300">
        <f t="shared" si="4"/>
        <v>0</v>
      </c>
      <c r="U32" s="307">
        <f t="shared" si="13"/>
        <v>2.6801198171212359</v>
      </c>
      <c r="V32" s="307">
        <f t="shared" si="14"/>
        <v>0.4729623206684534</v>
      </c>
      <c r="W32" s="307">
        <f t="shared" si="15"/>
        <v>0</v>
      </c>
      <c r="X32" s="308" t="str">
        <f t="shared" si="8"/>
        <v>S</v>
      </c>
      <c r="Y32" s="309"/>
      <c r="Z32" s="310">
        <f>(R32+S32+T32)*'1.0-Contractblad'!$L$37</f>
        <v>524.14517363429445</v>
      </c>
      <c r="AA32" s="310">
        <f ca="1">VLOOKUP(E32,'1.2-Jaarprijzen'!$B$51:$Q$88,16,FALSE)*K32</f>
        <v>0</v>
      </c>
      <c r="AC32" s="226">
        <f t="shared" si="9"/>
        <v>1094.8</v>
      </c>
      <c r="AD32" s="226" t="str">
        <f t="shared" si="10"/>
        <v>4200-200</v>
      </c>
    </row>
    <row r="33" spans="1:30" ht="12.5">
      <c r="A33" s="276"/>
      <c r="B33" s="336"/>
      <c r="C33" s="337"/>
      <c r="D33" s="302">
        <f>VLOOKUP(E33,'1.2-Jaarprijzen'!B:G,6,FALSE)</f>
        <v>1</v>
      </c>
      <c r="E33" s="522" t="s">
        <v>79</v>
      </c>
      <c r="F33" s="302" t="s">
        <v>201</v>
      </c>
      <c r="G33" s="525" t="s">
        <v>242</v>
      </c>
      <c r="H33" s="523" t="s">
        <v>243</v>
      </c>
      <c r="I33" s="303" t="str">
        <f t="shared" si="12"/>
        <v>leslokaal/bevo/handvaardigheid</v>
      </c>
      <c r="J33" s="302" t="s">
        <v>218</v>
      </c>
      <c r="K33" s="304">
        <v>48.304999999999993</v>
      </c>
      <c r="L33" s="304"/>
      <c r="M33" s="305">
        <v>7040</v>
      </c>
      <c r="N33" s="302"/>
      <c r="O33" s="306">
        <f t="shared" si="1"/>
        <v>40</v>
      </c>
      <c r="P33" s="472">
        <v>1</v>
      </c>
      <c r="Q33" s="472">
        <v>1</v>
      </c>
      <c r="R33" s="300">
        <f t="shared" si="2"/>
        <v>6.0641353846153843</v>
      </c>
      <c r="S33" s="300">
        <f t="shared" si="3"/>
        <v>4.4589230769230763</v>
      </c>
      <c r="T33" s="300">
        <f t="shared" si="4"/>
        <v>0</v>
      </c>
      <c r="U33" s="307">
        <f t="shared" si="13"/>
        <v>0.12553846153846154</v>
      </c>
      <c r="V33" s="307">
        <f t="shared" si="14"/>
        <v>9.2307692307692313E-2</v>
      </c>
      <c r="W33" s="307">
        <f t="shared" si="15"/>
        <v>0</v>
      </c>
      <c r="X33" s="308" t="str">
        <f t="shared" si="8"/>
        <v>L</v>
      </c>
      <c r="Y33" s="309"/>
      <c r="Z33" s="310">
        <f>(R33+S33+T33)*'1.0-Contractblad'!$L$37</f>
        <v>319.56079796639074</v>
      </c>
      <c r="AA33" s="310">
        <f ca="1">VLOOKUP(E33,'1.2-Jaarprijzen'!$B$51:$Q$88,16,FALSE)*K33</f>
        <v>0</v>
      </c>
      <c r="AC33" s="226">
        <f t="shared" si="9"/>
        <v>1932.1999999999998</v>
      </c>
      <c r="AD33" s="226" t="str">
        <f t="shared" si="10"/>
        <v>7040-40</v>
      </c>
    </row>
    <row r="34" spans="1:30" ht="12.5">
      <c r="A34" s="276"/>
      <c r="B34" s="336"/>
      <c r="C34" s="337"/>
      <c r="D34" s="302">
        <f>VLOOKUP(E34,'1.2-Jaarprijzen'!B:G,6,FALSE)</f>
        <v>1</v>
      </c>
      <c r="E34" s="522" t="s">
        <v>79</v>
      </c>
      <c r="F34" s="302" t="s">
        <v>201</v>
      </c>
      <c r="G34" s="525" t="s">
        <v>244</v>
      </c>
      <c r="H34" s="523" t="s">
        <v>245</v>
      </c>
      <c r="I34" s="303" t="str">
        <f t="shared" si="12"/>
        <v>sanitaire ruimte (toilet-/doucheruimte)</v>
      </c>
      <c r="J34" s="302" t="s">
        <v>221</v>
      </c>
      <c r="K34" s="304">
        <v>1.9599999999999997</v>
      </c>
      <c r="L34" s="304"/>
      <c r="M34" s="305">
        <v>4200</v>
      </c>
      <c r="N34" s="302"/>
      <c r="O34" s="306">
        <f t="shared" si="1"/>
        <v>200</v>
      </c>
      <c r="P34" s="472">
        <v>1</v>
      </c>
      <c r="Q34" s="472">
        <v>1</v>
      </c>
      <c r="R34" s="300">
        <f t="shared" si="2"/>
        <v>5.2530348415576213</v>
      </c>
      <c r="S34" s="300">
        <f t="shared" si="3"/>
        <v>0.92700614851016849</v>
      </c>
      <c r="T34" s="300">
        <f t="shared" si="4"/>
        <v>0</v>
      </c>
      <c r="U34" s="307">
        <f t="shared" si="13"/>
        <v>2.6801198171212359</v>
      </c>
      <c r="V34" s="307">
        <f t="shared" si="14"/>
        <v>0.4729623206684534</v>
      </c>
      <c r="W34" s="307">
        <f t="shared" si="15"/>
        <v>0</v>
      </c>
      <c r="X34" s="308" t="str">
        <f t="shared" si="8"/>
        <v>S</v>
      </c>
      <c r="Y34" s="309"/>
      <c r="Z34" s="310">
        <f>(R34+S34+T34)*'1.0-Contractblad'!$L$37</f>
        <v>187.6734637053739</v>
      </c>
      <c r="AA34" s="310">
        <f ca="1">VLOOKUP(E34,'1.2-Jaarprijzen'!$B$51:$Q$88,16,FALSE)*K34</f>
        <v>0</v>
      </c>
      <c r="AC34" s="226">
        <f t="shared" si="9"/>
        <v>391.99999999999994</v>
      </c>
      <c r="AD34" s="226" t="str">
        <f t="shared" si="10"/>
        <v>4200-200</v>
      </c>
    </row>
    <row r="35" spans="1:30" ht="12.5">
      <c r="A35" s="276"/>
      <c r="B35" s="336"/>
      <c r="C35" s="337"/>
      <c r="D35" s="302">
        <f>VLOOKUP(E35,'1.2-Jaarprijzen'!B:G,6,FALSE)</f>
        <v>1</v>
      </c>
      <c r="E35" s="522" t="s">
        <v>79</v>
      </c>
      <c r="F35" s="302" t="s">
        <v>201</v>
      </c>
      <c r="G35" s="525" t="s">
        <v>246</v>
      </c>
      <c r="H35" s="523" t="s">
        <v>247</v>
      </c>
      <c r="I35" s="303" t="str">
        <f t="shared" si="12"/>
        <v>niet van toepassing</v>
      </c>
      <c r="J35" s="302" t="s">
        <v>208</v>
      </c>
      <c r="K35" s="304"/>
      <c r="L35" s="304">
        <v>2.8</v>
      </c>
      <c r="M35" s="305" t="s">
        <v>147</v>
      </c>
      <c r="N35" s="302"/>
      <c r="O35" s="306">
        <f t="shared" si="1"/>
        <v>0</v>
      </c>
      <c r="P35" s="472">
        <v>1</v>
      </c>
      <c r="Q35" s="472">
        <v>1</v>
      </c>
      <c r="R35" s="300">
        <f t="shared" si="2"/>
        <v>0</v>
      </c>
      <c r="S35" s="300">
        <f t="shared" si="3"/>
        <v>0</v>
      </c>
      <c r="T35" s="300">
        <f t="shared" si="4"/>
        <v>0</v>
      </c>
      <c r="U35" s="307">
        <f t="shared" si="13"/>
        <v>0</v>
      </c>
      <c r="V35" s="307">
        <f t="shared" si="14"/>
        <v>0</v>
      </c>
      <c r="W35" s="307">
        <f t="shared" si="15"/>
        <v>0</v>
      </c>
      <c r="X35" s="308">
        <f t="shared" si="8"/>
        <v>0</v>
      </c>
      <c r="Y35" s="309"/>
      <c r="Z35" s="310">
        <f>(R35+S35+T35)*'1.0-Contractblad'!$L$37</f>
        <v>0</v>
      </c>
      <c r="AA35" s="310">
        <f ca="1">VLOOKUP(E35,'1.2-Jaarprijzen'!$B$51:$Q$88,16,FALSE)*K35</f>
        <v>0</v>
      </c>
      <c r="AC35" s="226">
        <f t="shared" si="9"/>
        <v>0</v>
      </c>
      <c r="AD35" s="226" t="str">
        <f t="shared" si="10"/>
        <v>nvt-0</v>
      </c>
    </row>
    <row r="36" spans="1:30" ht="12.5">
      <c r="A36" s="276"/>
      <c r="B36" s="336"/>
      <c r="C36" s="337"/>
      <c r="D36" s="302">
        <f>VLOOKUP(E36,'1.2-Jaarprijzen'!B:G,6,FALSE)</f>
        <v>1</v>
      </c>
      <c r="E36" s="522" t="s">
        <v>79</v>
      </c>
      <c r="F36" s="302" t="s">
        <v>201</v>
      </c>
      <c r="G36" s="525" t="s">
        <v>248</v>
      </c>
      <c r="H36" s="523" t="s">
        <v>249</v>
      </c>
      <c r="I36" s="303" t="str">
        <f t="shared" si="12"/>
        <v>sanitaire ruimte (toilet-/doucheruimte)</v>
      </c>
      <c r="J36" s="302" t="s">
        <v>221</v>
      </c>
      <c r="K36" s="304"/>
      <c r="L36" s="304"/>
      <c r="M36" s="305">
        <v>4200</v>
      </c>
      <c r="N36" s="302"/>
      <c r="O36" s="306">
        <f t="shared" si="1"/>
        <v>200</v>
      </c>
      <c r="P36" s="472">
        <v>1</v>
      </c>
      <c r="Q36" s="472">
        <v>1</v>
      </c>
      <c r="R36" s="300">
        <f t="shared" si="2"/>
        <v>0</v>
      </c>
      <c r="S36" s="300">
        <f t="shared" si="3"/>
        <v>0</v>
      </c>
      <c r="T36" s="300">
        <f t="shared" si="4"/>
        <v>0</v>
      </c>
      <c r="U36" s="307">
        <f t="shared" si="13"/>
        <v>2.6801198171212359</v>
      </c>
      <c r="V36" s="307">
        <f t="shared" si="14"/>
        <v>0.4729623206684534</v>
      </c>
      <c r="W36" s="307">
        <f t="shared" si="15"/>
        <v>0</v>
      </c>
      <c r="X36" s="308" t="str">
        <f t="shared" si="8"/>
        <v>S</v>
      </c>
      <c r="Y36" s="309"/>
      <c r="Z36" s="310">
        <f>(R36+S36+T36)*'1.0-Contractblad'!$L$37</f>
        <v>0</v>
      </c>
      <c r="AA36" s="310">
        <f ca="1">VLOOKUP(E36,'1.2-Jaarprijzen'!$B$51:$Q$88,16,FALSE)*K36</f>
        <v>0</v>
      </c>
      <c r="AC36" s="226">
        <f t="shared" si="9"/>
        <v>0</v>
      </c>
      <c r="AD36" s="226" t="str">
        <f t="shared" si="10"/>
        <v>4200-200</v>
      </c>
    </row>
    <row r="37" spans="1:30" ht="12.5">
      <c r="A37" s="276"/>
      <c r="B37" s="336"/>
      <c r="C37" s="337"/>
      <c r="D37" s="302">
        <f>VLOOKUP(E37,'1.2-Jaarprijzen'!B:G,6,FALSE)</f>
        <v>1</v>
      </c>
      <c r="E37" s="522" t="s">
        <v>79</v>
      </c>
      <c r="F37" s="302" t="s">
        <v>201</v>
      </c>
      <c r="G37" s="525" t="s">
        <v>250</v>
      </c>
      <c r="H37" s="523" t="s">
        <v>203</v>
      </c>
      <c r="I37" s="303" t="str">
        <f t="shared" si="12"/>
        <v>entree, gang, hal, repro, kopieer, was/droogruimte</v>
      </c>
      <c r="J37" s="302" t="s">
        <v>208</v>
      </c>
      <c r="K37" s="304">
        <v>14.9</v>
      </c>
      <c r="L37" s="304"/>
      <c r="M37" s="305">
        <v>3200</v>
      </c>
      <c r="N37" s="302"/>
      <c r="O37" s="306">
        <f t="shared" si="1"/>
        <v>200</v>
      </c>
      <c r="P37" s="472">
        <v>1</v>
      </c>
      <c r="Q37" s="472">
        <v>1</v>
      </c>
      <c r="R37" s="300">
        <f t="shared" si="2"/>
        <v>5.6081787124007549</v>
      </c>
      <c r="S37" s="300">
        <f t="shared" si="3"/>
        <v>1.6915973833600106</v>
      </c>
      <c r="T37" s="300">
        <f t="shared" si="4"/>
        <v>0</v>
      </c>
      <c r="U37" s="307">
        <f t="shared" si="13"/>
        <v>0.37638783304703055</v>
      </c>
      <c r="V37" s="307">
        <f t="shared" si="14"/>
        <v>0.11353002572885977</v>
      </c>
      <c r="W37" s="307">
        <f t="shared" si="15"/>
        <v>0</v>
      </c>
      <c r="X37" s="308" t="str">
        <f t="shared" si="8"/>
        <v>V</v>
      </c>
      <c r="Y37" s="309" t="s">
        <v>205</v>
      </c>
      <c r="Z37" s="310">
        <f>(R37+S37+T37)*'1.0-Contractblad'!$L$37</f>
        <v>221.67721320406432</v>
      </c>
      <c r="AA37" s="310">
        <f ca="1">VLOOKUP(E37,'1.2-Jaarprijzen'!$B$51:$Q$88,16,FALSE)*K37</f>
        <v>0</v>
      </c>
      <c r="AC37" s="226">
        <f t="shared" si="9"/>
        <v>2980</v>
      </c>
      <c r="AD37" s="226" t="str">
        <f t="shared" si="10"/>
        <v>3200-200</v>
      </c>
    </row>
    <row r="38" spans="1:30" ht="12.5">
      <c r="A38" s="276"/>
      <c r="B38" s="336"/>
      <c r="C38" s="337"/>
      <c r="D38" s="302">
        <f>VLOOKUP(E38,'1.2-Jaarprijzen'!B:G,6,FALSE)</f>
        <v>1</v>
      </c>
      <c r="E38" s="522" t="s">
        <v>79</v>
      </c>
      <c r="F38" s="302" t="s">
        <v>201</v>
      </c>
      <c r="G38" s="525" t="s">
        <v>251</v>
      </c>
      <c r="H38" s="523" t="s">
        <v>252</v>
      </c>
      <c r="I38" s="303" t="str">
        <f t="shared" si="12"/>
        <v>administratieve -, personeels- en vergaderruimte</v>
      </c>
      <c r="J38" s="302" t="s">
        <v>253</v>
      </c>
      <c r="K38" s="304">
        <v>15.299999999999999</v>
      </c>
      <c r="L38" s="304"/>
      <c r="M38" s="305">
        <v>1080</v>
      </c>
      <c r="N38" s="302"/>
      <c r="O38" s="306">
        <f t="shared" si="1"/>
        <v>80</v>
      </c>
      <c r="P38" s="472">
        <v>1</v>
      </c>
      <c r="Q38" s="472">
        <v>1</v>
      </c>
      <c r="R38" s="300">
        <f t="shared" si="2"/>
        <v>3.2012307692307691</v>
      </c>
      <c r="S38" s="300">
        <f t="shared" si="3"/>
        <v>0.56492307692307697</v>
      </c>
      <c r="T38" s="300">
        <f t="shared" si="4"/>
        <v>0</v>
      </c>
      <c r="U38" s="307">
        <f t="shared" si="13"/>
        <v>0.20923076923076925</v>
      </c>
      <c r="V38" s="307">
        <f t="shared" si="14"/>
        <v>3.6923076923076927E-2</v>
      </c>
      <c r="W38" s="307">
        <f t="shared" si="15"/>
        <v>0</v>
      </c>
      <c r="X38" s="308" t="str">
        <f t="shared" si="8"/>
        <v>V</v>
      </c>
      <c r="Y38" s="309"/>
      <c r="Z38" s="310">
        <f>(R38+S38+T38)*'1.0-Contractblad'!$L$37</f>
        <v>114.36932834117903</v>
      </c>
      <c r="AA38" s="310">
        <f ca="1">VLOOKUP(E38,'1.2-Jaarprijzen'!$B$51:$Q$88,16,FALSE)*K38</f>
        <v>0</v>
      </c>
      <c r="AC38" s="226">
        <f t="shared" si="9"/>
        <v>1224</v>
      </c>
      <c r="AD38" s="226" t="str">
        <f t="shared" si="10"/>
        <v>1080-80</v>
      </c>
    </row>
    <row r="39" spans="1:30" ht="12.5">
      <c r="A39" s="276"/>
      <c r="B39" s="336"/>
      <c r="C39" s="337"/>
      <c r="D39" s="302">
        <f>VLOOKUP(E39,'1.2-Jaarprijzen'!B:G,6,FALSE)</f>
        <v>1</v>
      </c>
      <c r="E39" s="522" t="s">
        <v>79</v>
      </c>
      <c r="F39" s="302" t="s">
        <v>201</v>
      </c>
      <c r="G39" s="525" t="s">
        <v>254</v>
      </c>
      <c r="H39" s="523" t="s">
        <v>207</v>
      </c>
      <c r="I39" s="303" t="str">
        <f t="shared" si="12"/>
        <v>niet van toepassing</v>
      </c>
      <c r="J39" s="302" t="s">
        <v>208</v>
      </c>
      <c r="K39" s="304"/>
      <c r="L39" s="304">
        <v>19.329999999999998</v>
      </c>
      <c r="M39" s="305" t="s">
        <v>147</v>
      </c>
      <c r="N39" s="302"/>
      <c r="O39" s="306">
        <f t="shared" si="1"/>
        <v>0</v>
      </c>
      <c r="P39" s="472">
        <v>1</v>
      </c>
      <c r="Q39" s="472">
        <v>1</v>
      </c>
      <c r="R39" s="300">
        <f t="shared" si="2"/>
        <v>0</v>
      </c>
      <c r="S39" s="300">
        <f t="shared" si="3"/>
        <v>0</v>
      </c>
      <c r="T39" s="300">
        <f t="shared" si="4"/>
        <v>0</v>
      </c>
      <c r="U39" s="307">
        <f t="shared" si="13"/>
        <v>0</v>
      </c>
      <c r="V39" s="307">
        <f t="shared" si="14"/>
        <v>0</v>
      </c>
      <c r="W39" s="307">
        <f t="shared" si="15"/>
        <v>0</v>
      </c>
      <c r="X39" s="308">
        <f t="shared" si="8"/>
        <v>0</v>
      </c>
      <c r="Y39" s="309"/>
      <c r="Z39" s="310">
        <f>(R39+S39+T39)*'1.0-Contractblad'!$L$37</f>
        <v>0</v>
      </c>
      <c r="AA39" s="310">
        <f ca="1">VLOOKUP(E39,'1.2-Jaarprijzen'!$B$51:$Q$88,16,FALSE)*K39</f>
        <v>0</v>
      </c>
      <c r="AC39" s="226">
        <f t="shared" si="9"/>
        <v>0</v>
      </c>
      <c r="AD39" s="226" t="str">
        <f t="shared" si="10"/>
        <v>nvt-0</v>
      </c>
    </row>
    <row r="40" spans="1:30" ht="12.5">
      <c r="A40" s="276"/>
      <c r="B40" s="336"/>
      <c r="C40" s="337"/>
      <c r="D40" s="302">
        <f>VLOOKUP(E40,'1.2-Jaarprijzen'!B:G,6,FALSE)</f>
        <v>1</v>
      </c>
      <c r="E40" s="522" t="s">
        <v>79</v>
      </c>
      <c r="F40" s="302" t="s">
        <v>201</v>
      </c>
      <c r="G40" s="525" t="s">
        <v>255</v>
      </c>
      <c r="H40" s="523" t="s">
        <v>256</v>
      </c>
      <c r="I40" s="303" t="str">
        <f t="shared" si="12"/>
        <v>kleedruimten</v>
      </c>
      <c r="J40" s="302" t="s">
        <v>208</v>
      </c>
      <c r="K40" s="304">
        <v>14.3</v>
      </c>
      <c r="L40" s="304"/>
      <c r="M40" s="305">
        <v>13200</v>
      </c>
      <c r="N40" s="302"/>
      <c r="O40" s="306">
        <f t="shared" si="1"/>
        <v>200</v>
      </c>
      <c r="P40" s="472">
        <v>1</v>
      </c>
      <c r="Q40" s="472">
        <v>1</v>
      </c>
      <c r="R40" s="300">
        <f t="shared" si="2"/>
        <v>17.083098213817184</v>
      </c>
      <c r="S40" s="300">
        <f t="shared" si="3"/>
        <v>2.135387276727148</v>
      </c>
      <c r="T40" s="300">
        <f t="shared" si="4"/>
        <v>0</v>
      </c>
      <c r="U40" s="307">
        <f t="shared" si="13"/>
        <v>1.1946222527144883</v>
      </c>
      <c r="V40" s="307">
        <f t="shared" si="14"/>
        <v>0.14932778158931104</v>
      </c>
      <c r="W40" s="307">
        <f t="shared" si="15"/>
        <v>0</v>
      </c>
      <c r="X40" s="308" t="str">
        <f t="shared" si="8"/>
        <v>V</v>
      </c>
      <c r="Y40" s="309"/>
      <c r="Z40" s="310">
        <f>(R40+S40+T40)*'1.0-Contractblad'!$L$37</f>
        <v>583.62068228650423</v>
      </c>
      <c r="AA40" s="310">
        <f ca="1">VLOOKUP(E40,'1.2-Jaarprijzen'!$B$51:$Q$88,16,FALSE)*K40</f>
        <v>0</v>
      </c>
      <c r="AC40" s="226">
        <f t="shared" si="9"/>
        <v>2860</v>
      </c>
      <c r="AD40" s="226" t="str">
        <f t="shared" si="10"/>
        <v>13200-200</v>
      </c>
    </row>
    <row r="41" spans="1:30" ht="12.5">
      <c r="A41" s="276"/>
      <c r="B41" s="336"/>
      <c r="C41" s="337"/>
      <c r="D41" s="302">
        <f>VLOOKUP(E41,'1.2-Jaarprijzen'!B:G,6,FALSE)</f>
        <v>1</v>
      </c>
      <c r="E41" s="522" t="s">
        <v>79</v>
      </c>
      <c r="F41" s="302" t="s">
        <v>201</v>
      </c>
      <c r="G41" s="525" t="s">
        <v>257</v>
      </c>
      <c r="H41" s="523" t="s">
        <v>258</v>
      </c>
      <c r="I41" s="303" t="str">
        <f t="shared" si="12"/>
        <v>sanitaire ruimte (toilet-/doucheruimte)</v>
      </c>
      <c r="J41" s="302" t="s">
        <v>221</v>
      </c>
      <c r="K41" s="304">
        <v>10.3</v>
      </c>
      <c r="L41" s="304"/>
      <c r="M41" s="305">
        <v>4200</v>
      </c>
      <c r="N41" s="302"/>
      <c r="O41" s="306">
        <f t="shared" si="1"/>
        <v>200</v>
      </c>
      <c r="P41" s="472">
        <v>1</v>
      </c>
      <c r="Q41" s="472">
        <v>1</v>
      </c>
      <c r="R41" s="300">
        <f t="shared" si="2"/>
        <v>27.605234116348733</v>
      </c>
      <c r="S41" s="300">
        <f t="shared" si="3"/>
        <v>4.8715119028850706</v>
      </c>
      <c r="T41" s="300">
        <f t="shared" si="4"/>
        <v>0</v>
      </c>
      <c r="U41" s="307">
        <f t="shared" si="13"/>
        <v>2.6801198171212359</v>
      </c>
      <c r="V41" s="307">
        <f t="shared" si="14"/>
        <v>0.4729623206684534</v>
      </c>
      <c r="W41" s="307">
        <f t="shared" si="15"/>
        <v>0</v>
      </c>
      <c r="X41" s="308" t="str">
        <f t="shared" si="8"/>
        <v>S</v>
      </c>
      <c r="Y41" s="309"/>
      <c r="Z41" s="310">
        <f>(R41+S41+T41)*'1.0-Contractblad'!$L$37</f>
        <v>986.24320212517944</v>
      </c>
      <c r="AA41" s="310">
        <f ca="1">VLOOKUP(E41,'1.2-Jaarprijzen'!$B$51:$Q$88,16,FALSE)*K41</f>
        <v>0</v>
      </c>
      <c r="AC41" s="226">
        <f t="shared" si="9"/>
        <v>2060</v>
      </c>
      <c r="AD41" s="226" t="str">
        <f t="shared" si="10"/>
        <v>4200-200</v>
      </c>
    </row>
    <row r="42" spans="1:30" ht="12.5">
      <c r="A42" s="276"/>
      <c r="B42" s="336"/>
      <c r="C42" s="337"/>
      <c r="D42" s="302">
        <f>VLOOKUP(E42,'1.2-Jaarprijzen'!B:G,6,FALSE)</f>
        <v>1</v>
      </c>
      <c r="E42" s="522" t="s">
        <v>79</v>
      </c>
      <c r="F42" s="302" t="s">
        <v>201</v>
      </c>
      <c r="G42" s="525" t="s">
        <v>259</v>
      </c>
      <c r="H42" s="523" t="s">
        <v>220</v>
      </c>
      <c r="I42" s="303" t="str">
        <f t="shared" si="12"/>
        <v>sanitaire ruimte (toilet-/doucheruimte)</v>
      </c>
      <c r="J42" s="302" t="s">
        <v>221</v>
      </c>
      <c r="K42" s="304">
        <v>1.5</v>
      </c>
      <c r="L42" s="304"/>
      <c r="M42" s="305">
        <v>4200</v>
      </c>
      <c r="N42" s="302"/>
      <c r="O42" s="306">
        <f t="shared" si="1"/>
        <v>200</v>
      </c>
      <c r="P42" s="472">
        <v>1</v>
      </c>
      <c r="Q42" s="472">
        <v>1</v>
      </c>
      <c r="R42" s="300">
        <f t="shared" si="2"/>
        <v>4.0201797256818539</v>
      </c>
      <c r="S42" s="300">
        <f t="shared" si="3"/>
        <v>0.70944348100268007</v>
      </c>
      <c r="T42" s="300">
        <f t="shared" si="4"/>
        <v>0</v>
      </c>
      <c r="U42" s="307">
        <f t="shared" si="13"/>
        <v>2.6801198171212359</v>
      </c>
      <c r="V42" s="307">
        <f t="shared" si="14"/>
        <v>0.4729623206684534</v>
      </c>
      <c r="W42" s="307">
        <f t="shared" si="15"/>
        <v>0</v>
      </c>
      <c r="X42" s="308" t="str">
        <f t="shared" si="8"/>
        <v>S</v>
      </c>
      <c r="Y42" s="309"/>
      <c r="Z42" s="310">
        <f>(R42+S42+T42)*'1.0-Contractblad'!$L$37</f>
        <v>143.62765079492902</v>
      </c>
      <c r="AA42" s="310">
        <f ca="1">VLOOKUP(E42,'1.2-Jaarprijzen'!$B$51:$Q$88,16,FALSE)*K42</f>
        <v>0</v>
      </c>
      <c r="AC42" s="226">
        <f t="shared" ref="AC42:AC105" si="16">K42*O42</f>
        <v>300</v>
      </c>
      <c r="AD42" s="226" t="str">
        <f t="shared" ref="AD42:AD105" si="17">CONCATENATE(M42,"-",O42)</f>
        <v>4200-200</v>
      </c>
    </row>
    <row r="43" spans="1:30" ht="12.5">
      <c r="A43" s="276"/>
      <c r="B43" s="336"/>
      <c r="C43" s="337"/>
      <c r="D43" s="302">
        <f>VLOOKUP(E43,'1.2-Jaarprijzen'!B:G,6,FALSE)</f>
        <v>1</v>
      </c>
      <c r="E43" s="522" t="s">
        <v>79</v>
      </c>
      <c r="F43" s="302" t="s">
        <v>201</v>
      </c>
      <c r="G43" s="525" t="s">
        <v>260</v>
      </c>
      <c r="H43" s="523" t="s">
        <v>256</v>
      </c>
      <c r="I43" s="303" t="str">
        <f t="shared" si="12"/>
        <v>kleedruimten</v>
      </c>
      <c r="J43" s="302" t="s">
        <v>208</v>
      </c>
      <c r="K43" s="304">
        <v>14.3</v>
      </c>
      <c r="L43" s="304"/>
      <c r="M43" s="305">
        <v>13200</v>
      </c>
      <c r="N43" s="302"/>
      <c r="O43" s="306">
        <f t="shared" si="1"/>
        <v>200</v>
      </c>
      <c r="P43" s="472">
        <v>1</v>
      </c>
      <c r="Q43" s="472">
        <v>1</v>
      </c>
      <c r="R43" s="300">
        <f t="shared" si="2"/>
        <v>17.083098213817184</v>
      </c>
      <c r="S43" s="300">
        <f t="shared" si="3"/>
        <v>2.135387276727148</v>
      </c>
      <c r="T43" s="300">
        <f t="shared" si="4"/>
        <v>0</v>
      </c>
      <c r="U43" s="307">
        <f t="shared" si="13"/>
        <v>1.1946222527144883</v>
      </c>
      <c r="V43" s="307">
        <f t="shared" si="14"/>
        <v>0.14932778158931104</v>
      </c>
      <c r="W43" s="307">
        <f t="shared" si="15"/>
        <v>0</v>
      </c>
      <c r="X43" s="308" t="str">
        <f t="shared" si="8"/>
        <v>V</v>
      </c>
      <c r="Y43" s="309"/>
      <c r="Z43" s="310">
        <f>(R43+S43+T43)*'1.0-Contractblad'!$L$37</f>
        <v>583.62068228650423</v>
      </c>
      <c r="AA43" s="310">
        <f ca="1">VLOOKUP(E43,'1.2-Jaarprijzen'!$B$51:$Q$88,16,FALSE)*K43</f>
        <v>0</v>
      </c>
      <c r="AC43" s="226">
        <f t="shared" si="16"/>
        <v>2860</v>
      </c>
      <c r="AD43" s="226" t="str">
        <f t="shared" si="17"/>
        <v>13200-200</v>
      </c>
    </row>
    <row r="44" spans="1:30" ht="12.5">
      <c r="A44" s="276"/>
      <c r="B44" s="336"/>
      <c r="C44" s="337"/>
      <c r="D44" s="302">
        <f>VLOOKUP(E44,'1.2-Jaarprijzen'!B:G,6,FALSE)</f>
        <v>1</v>
      </c>
      <c r="E44" s="522" t="s">
        <v>79</v>
      </c>
      <c r="F44" s="302" t="s">
        <v>201</v>
      </c>
      <c r="G44" s="525" t="s">
        <v>261</v>
      </c>
      <c r="H44" s="523" t="s">
        <v>258</v>
      </c>
      <c r="I44" s="303" t="str">
        <f t="shared" si="12"/>
        <v>sanitaire ruimte (toilet-/doucheruimte)</v>
      </c>
      <c r="J44" s="302" t="s">
        <v>221</v>
      </c>
      <c r="K44" s="304">
        <v>10.3</v>
      </c>
      <c r="L44" s="304"/>
      <c r="M44" s="305">
        <v>4200</v>
      </c>
      <c r="N44" s="302"/>
      <c r="O44" s="306">
        <f t="shared" ref="O44:O110" si="18">VLOOKUP(M44,Kengetal,3,FALSE)+VLOOKUP(N44,Kengetal,3,FALSE)</f>
        <v>200</v>
      </c>
      <c r="P44" s="472">
        <v>1</v>
      </c>
      <c r="Q44" s="472">
        <v>1</v>
      </c>
      <c r="R44" s="300">
        <f t="shared" ref="R44:R110" si="19">U44*K44*P44</f>
        <v>27.605234116348733</v>
      </c>
      <c r="S44" s="300">
        <f t="shared" ref="S44:S110" si="20">V44*K44*Q44</f>
        <v>4.8715119028850706</v>
      </c>
      <c r="T44" s="300">
        <f t="shared" ref="T44:T110" si="21">W44*K44*P44</f>
        <v>0</v>
      </c>
      <c r="U44" s="307">
        <f t="shared" si="13"/>
        <v>2.6801198171212359</v>
      </c>
      <c r="V44" s="307">
        <f t="shared" si="14"/>
        <v>0.4729623206684534</v>
      </c>
      <c r="W44" s="307">
        <f t="shared" si="15"/>
        <v>0</v>
      </c>
      <c r="X44" s="308" t="str">
        <f t="shared" ref="X44:X110" si="22">IF(M44="","",VLOOKUP(M44,Kengetal,13,FALSE))</f>
        <v>S</v>
      </c>
      <c r="Y44" s="309"/>
      <c r="Z44" s="310">
        <f>(R44+S44+T44)*'1.0-Contractblad'!$L$37</f>
        <v>986.24320212517944</v>
      </c>
      <c r="AA44" s="310">
        <f ca="1">VLOOKUP(E44,'1.2-Jaarprijzen'!$B$51:$Q$88,16,FALSE)*K44</f>
        <v>0</v>
      </c>
      <c r="AC44" s="226">
        <f t="shared" si="16"/>
        <v>2060</v>
      </c>
      <c r="AD44" s="226" t="str">
        <f t="shared" si="17"/>
        <v>4200-200</v>
      </c>
    </row>
    <row r="45" spans="1:30" ht="12.5">
      <c r="A45" s="276"/>
      <c r="B45" s="336"/>
      <c r="C45" s="337"/>
      <c r="D45" s="302">
        <f>VLOOKUP(E45,'1.2-Jaarprijzen'!B:G,6,FALSE)</f>
        <v>1</v>
      </c>
      <c r="E45" s="522" t="s">
        <v>79</v>
      </c>
      <c r="F45" s="302" t="s">
        <v>201</v>
      </c>
      <c r="G45" s="525" t="s">
        <v>262</v>
      </c>
      <c r="H45" s="523" t="s">
        <v>220</v>
      </c>
      <c r="I45" s="303" t="str">
        <f t="shared" si="12"/>
        <v>sanitaire ruimte (toilet-/doucheruimte)</v>
      </c>
      <c r="J45" s="302" t="s">
        <v>221</v>
      </c>
      <c r="K45" s="304">
        <v>1.5</v>
      </c>
      <c r="L45" s="304"/>
      <c r="M45" s="305">
        <v>4200</v>
      </c>
      <c r="N45" s="302"/>
      <c r="O45" s="306">
        <f t="shared" si="18"/>
        <v>200</v>
      </c>
      <c r="P45" s="472">
        <v>1</v>
      </c>
      <c r="Q45" s="472">
        <v>1</v>
      </c>
      <c r="R45" s="300">
        <f t="shared" si="19"/>
        <v>4.0201797256818539</v>
      </c>
      <c r="S45" s="300">
        <f t="shared" si="20"/>
        <v>0.70944348100268007</v>
      </c>
      <c r="T45" s="300">
        <f t="shared" si="21"/>
        <v>0</v>
      </c>
      <c r="U45" s="307">
        <f t="shared" si="13"/>
        <v>2.6801198171212359</v>
      </c>
      <c r="V45" s="307">
        <f t="shared" si="14"/>
        <v>0.4729623206684534</v>
      </c>
      <c r="W45" s="307">
        <f t="shared" si="15"/>
        <v>0</v>
      </c>
      <c r="X45" s="308" t="str">
        <f t="shared" si="22"/>
        <v>S</v>
      </c>
      <c r="Y45" s="309"/>
      <c r="Z45" s="310">
        <f>(R45+S45+T45)*'1.0-Contractblad'!$L$37</f>
        <v>143.62765079492902</v>
      </c>
      <c r="AA45" s="310">
        <f ca="1">VLOOKUP(E45,'1.2-Jaarprijzen'!$B$51:$Q$88,16,FALSE)*K45</f>
        <v>0</v>
      </c>
      <c r="AC45" s="226">
        <f t="shared" si="16"/>
        <v>300</v>
      </c>
      <c r="AD45" s="226" t="str">
        <f t="shared" si="17"/>
        <v>4200-200</v>
      </c>
    </row>
    <row r="46" spans="1:30" ht="12.5">
      <c r="A46" s="276"/>
      <c r="B46" s="336"/>
      <c r="C46" s="337"/>
      <c r="D46" s="302">
        <f>VLOOKUP(E46,'1.2-Jaarprijzen'!B:G,6,FALSE)</f>
        <v>1</v>
      </c>
      <c r="E46" s="522" t="s">
        <v>79</v>
      </c>
      <c r="F46" s="302" t="s">
        <v>201</v>
      </c>
      <c r="G46" s="525" t="s">
        <v>263</v>
      </c>
      <c r="H46" s="523" t="s">
        <v>142</v>
      </c>
      <c r="I46" s="303" t="str">
        <f t="shared" si="12"/>
        <v>gymzaal</v>
      </c>
      <c r="J46" s="302" t="s">
        <v>264</v>
      </c>
      <c r="K46" s="304">
        <v>263.95</v>
      </c>
      <c r="L46" s="304"/>
      <c r="M46" s="305">
        <v>14200</v>
      </c>
      <c r="N46" s="302"/>
      <c r="O46" s="306">
        <f t="shared" si="18"/>
        <v>200</v>
      </c>
      <c r="P46" s="472">
        <v>1</v>
      </c>
      <c r="Q46" s="472">
        <v>1</v>
      </c>
      <c r="R46" s="300">
        <f t="shared" si="19"/>
        <v>84.727949999999993</v>
      </c>
      <c r="S46" s="300">
        <f t="shared" si="20"/>
        <v>22.947128601317708</v>
      </c>
      <c r="T46" s="300">
        <f t="shared" si="21"/>
        <v>0</v>
      </c>
      <c r="U46" s="307">
        <f t="shared" si="13"/>
        <v>0.32100000000000001</v>
      </c>
      <c r="V46" s="307">
        <f t="shared" si="14"/>
        <v>8.6937407089667393E-2</v>
      </c>
      <c r="W46" s="307">
        <f t="shared" si="15"/>
        <v>0</v>
      </c>
      <c r="X46" s="308" t="str">
        <f t="shared" si="22"/>
        <v>Sp</v>
      </c>
      <c r="Y46" s="309"/>
      <c r="Z46" s="310">
        <f>(R46+S46+T46)*'1.0-Contractblad'!$L$37</f>
        <v>3269.8415735970734</v>
      </c>
      <c r="AA46" s="310">
        <f ca="1">VLOOKUP(E46,'1.2-Jaarprijzen'!$B$51:$Q$88,16,FALSE)*K46</f>
        <v>0</v>
      </c>
      <c r="AC46" s="226">
        <f t="shared" si="16"/>
        <v>52790</v>
      </c>
      <c r="AD46" s="226" t="str">
        <f t="shared" si="17"/>
        <v>14200-200</v>
      </c>
    </row>
    <row r="47" spans="1:30" ht="12.5">
      <c r="A47" s="276"/>
      <c r="B47" s="336"/>
      <c r="C47" s="337"/>
      <c r="D47" s="302">
        <f>VLOOKUP(E47,'1.2-Jaarprijzen'!B:G,6,FALSE)</f>
        <v>1</v>
      </c>
      <c r="E47" s="522" t="s">
        <v>79</v>
      </c>
      <c r="F47" s="302" t="s">
        <v>201</v>
      </c>
      <c r="G47" s="525" t="s">
        <v>265</v>
      </c>
      <c r="H47" s="523" t="s">
        <v>266</v>
      </c>
      <c r="I47" s="303" t="str">
        <f t="shared" si="12"/>
        <v>gymzaal (berging)</v>
      </c>
      <c r="J47" s="302" t="s">
        <v>264</v>
      </c>
      <c r="K47" s="304">
        <v>32.4</v>
      </c>
      <c r="L47" s="304"/>
      <c r="M47" s="305">
        <v>14040</v>
      </c>
      <c r="N47" s="302"/>
      <c r="O47" s="306">
        <f t="shared" si="18"/>
        <v>40</v>
      </c>
      <c r="P47" s="472">
        <v>1</v>
      </c>
      <c r="Q47" s="472">
        <v>1</v>
      </c>
      <c r="R47" s="300">
        <f t="shared" si="19"/>
        <v>2.1840840000000004</v>
      </c>
      <c r="S47" s="300">
        <f t="shared" si="20"/>
        <v>2.8167719897052232</v>
      </c>
      <c r="T47" s="300">
        <f t="shared" si="21"/>
        <v>0</v>
      </c>
      <c r="U47" s="307">
        <f t="shared" si="13"/>
        <v>6.7410000000000012E-2</v>
      </c>
      <c r="V47" s="307">
        <f t="shared" si="14"/>
        <v>8.6937407089667393E-2</v>
      </c>
      <c r="W47" s="307">
        <f t="shared" si="15"/>
        <v>0</v>
      </c>
      <c r="X47" s="308" t="str">
        <f t="shared" si="22"/>
        <v>Sp</v>
      </c>
      <c r="Y47" s="309"/>
      <c r="Z47" s="310">
        <f>(R47+S47+T47)*'1.0-Contractblad'!$L$37</f>
        <v>151.86435924747002</v>
      </c>
      <c r="AA47" s="310">
        <f ca="1">VLOOKUP(E47,'1.2-Jaarprijzen'!$B$51:$Q$88,16,FALSE)*K47</f>
        <v>0</v>
      </c>
      <c r="AC47" s="226">
        <f t="shared" si="16"/>
        <v>1296</v>
      </c>
      <c r="AD47" s="226" t="str">
        <f t="shared" si="17"/>
        <v>14040-40</v>
      </c>
    </row>
    <row r="48" spans="1:30" ht="12.5">
      <c r="A48" s="276"/>
      <c r="B48" s="336"/>
      <c r="C48" s="337"/>
      <c r="D48" s="302">
        <f>VLOOKUP(E48,'1.2-Jaarprijzen'!B:G,6,FALSE)</f>
        <v>1</v>
      </c>
      <c r="E48" s="522" t="s">
        <v>79</v>
      </c>
      <c r="F48" s="302" t="s">
        <v>201</v>
      </c>
      <c r="G48" s="525" t="s">
        <v>267</v>
      </c>
      <c r="H48" s="523" t="s">
        <v>268</v>
      </c>
      <c r="I48" s="303" t="str">
        <f t="shared" si="12"/>
        <v>administratieve -, personeels- en vergaderruimte</v>
      </c>
      <c r="J48" s="302" t="s">
        <v>218</v>
      </c>
      <c r="K48" s="304">
        <v>15.3</v>
      </c>
      <c r="L48" s="304"/>
      <c r="M48" s="305">
        <v>1080</v>
      </c>
      <c r="N48" s="302"/>
      <c r="O48" s="306">
        <f t="shared" si="18"/>
        <v>80</v>
      </c>
      <c r="P48" s="472">
        <v>1</v>
      </c>
      <c r="Q48" s="472">
        <v>1</v>
      </c>
      <c r="R48" s="300">
        <f t="shared" si="19"/>
        <v>3.2012307692307695</v>
      </c>
      <c r="S48" s="300">
        <f t="shared" si="20"/>
        <v>0.56492307692307697</v>
      </c>
      <c r="T48" s="300">
        <f t="shared" si="21"/>
        <v>0</v>
      </c>
      <c r="U48" s="307">
        <f t="shared" si="13"/>
        <v>0.20923076923076925</v>
      </c>
      <c r="V48" s="307">
        <f t="shared" si="14"/>
        <v>3.6923076923076927E-2</v>
      </c>
      <c r="W48" s="307">
        <f t="shared" si="15"/>
        <v>0</v>
      </c>
      <c r="X48" s="308" t="str">
        <f t="shared" si="22"/>
        <v>V</v>
      </c>
      <c r="Y48" s="309"/>
      <c r="Z48" s="310">
        <f>(R48+S48+T48)*'1.0-Contractblad'!$L$37</f>
        <v>114.36932834117904</v>
      </c>
      <c r="AA48" s="310">
        <f ca="1">VLOOKUP(E48,'1.2-Jaarprijzen'!$B$51:$Q$88,16,FALSE)*K48</f>
        <v>0</v>
      </c>
      <c r="AC48" s="226">
        <f t="shared" si="16"/>
        <v>1224</v>
      </c>
      <c r="AD48" s="226" t="str">
        <f t="shared" si="17"/>
        <v>1080-80</v>
      </c>
    </row>
    <row r="49" spans="1:30" ht="12.5">
      <c r="A49" s="276"/>
      <c r="B49" s="336"/>
      <c r="C49" s="337"/>
      <c r="D49" s="302">
        <f>VLOOKUP(E49,'1.2-Jaarprijzen'!B:G,6,FALSE)</f>
        <v>1</v>
      </c>
      <c r="E49" s="522" t="s">
        <v>79</v>
      </c>
      <c r="F49" s="302" t="s">
        <v>201</v>
      </c>
      <c r="G49" s="525" t="s">
        <v>269</v>
      </c>
      <c r="H49" s="523" t="s">
        <v>270</v>
      </c>
      <c r="I49" s="303" t="str">
        <f t="shared" si="12"/>
        <v>niet van toepassing</v>
      </c>
      <c r="J49" s="302" t="s">
        <v>208</v>
      </c>
      <c r="K49" s="304"/>
      <c r="L49" s="304">
        <v>13.15</v>
      </c>
      <c r="M49" s="305" t="s">
        <v>147</v>
      </c>
      <c r="N49" s="302"/>
      <c r="O49" s="306">
        <f t="shared" si="18"/>
        <v>0</v>
      </c>
      <c r="P49" s="472">
        <v>1</v>
      </c>
      <c r="Q49" s="472">
        <v>1</v>
      </c>
      <c r="R49" s="300">
        <f t="shared" si="19"/>
        <v>0</v>
      </c>
      <c r="S49" s="300">
        <f t="shared" si="20"/>
        <v>0</v>
      </c>
      <c r="T49" s="300">
        <f t="shared" si="21"/>
        <v>0</v>
      </c>
      <c r="U49" s="307">
        <f t="shared" si="13"/>
        <v>0</v>
      </c>
      <c r="V49" s="307">
        <f t="shared" si="14"/>
        <v>0</v>
      </c>
      <c r="W49" s="307">
        <f t="shared" si="15"/>
        <v>0</v>
      </c>
      <c r="X49" s="308">
        <f t="shared" si="22"/>
        <v>0</v>
      </c>
      <c r="Y49" s="309"/>
      <c r="Z49" s="310">
        <f>(R49+S49+T49)*'1.0-Contractblad'!$L$37</f>
        <v>0</v>
      </c>
      <c r="AA49" s="310">
        <f ca="1">VLOOKUP(E49,'1.2-Jaarprijzen'!$B$51:$Q$88,16,FALSE)*K49</f>
        <v>0</v>
      </c>
      <c r="AC49" s="226">
        <f t="shared" si="16"/>
        <v>0</v>
      </c>
      <c r="AD49" s="226" t="str">
        <f t="shared" si="17"/>
        <v>nvt-0</v>
      </c>
    </row>
    <row r="50" spans="1:30" ht="12.5">
      <c r="A50" s="276"/>
      <c r="B50" s="336"/>
      <c r="C50" s="337"/>
      <c r="D50" s="302">
        <f>VLOOKUP(E50,'1.2-Jaarprijzen'!B:G,6,FALSE)</f>
        <v>1</v>
      </c>
      <c r="E50" s="522" t="s">
        <v>79</v>
      </c>
      <c r="F50" s="302" t="s">
        <v>201</v>
      </c>
      <c r="G50" s="525" t="s">
        <v>271</v>
      </c>
      <c r="H50" s="523" t="s">
        <v>207</v>
      </c>
      <c r="I50" s="303" t="str">
        <f t="shared" si="12"/>
        <v>niet van toepassing</v>
      </c>
      <c r="J50" s="302" t="s">
        <v>208</v>
      </c>
      <c r="K50" s="304"/>
      <c r="L50" s="304">
        <v>19.329999999999998</v>
      </c>
      <c r="M50" s="305" t="s">
        <v>147</v>
      </c>
      <c r="N50" s="302"/>
      <c r="O50" s="306">
        <f t="shared" si="18"/>
        <v>0</v>
      </c>
      <c r="P50" s="472">
        <v>1</v>
      </c>
      <c r="Q50" s="472">
        <v>1</v>
      </c>
      <c r="R50" s="300">
        <f t="shared" si="19"/>
        <v>0</v>
      </c>
      <c r="S50" s="300">
        <f t="shared" si="20"/>
        <v>0</v>
      </c>
      <c r="T50" s="300">
        <f t="shared" si="21"/>
        <v>0</v>
      </c>
      <c r="U50" s="307">
        <f t="shared" si="13"/>
        <v>0</v>
      </c>
      <c r="V50" s="307">
        <f t="shared" si="14"/>
        <v>0</v>
      </c>
      <c r="W50" s="307">
        <f t="shared" si="15"/>
        <v>0</v>
      </c>
      <c r="X50" s="308">
        <f t="shared" si="22"/>
        <v>0</v>
      </c>
      <c r="Y50" s="309"/>
      <c r="Z50" s="310">
        <f>(R50+S50+T50)*'1.0-Contractblad'!$L$37</f>
        <v>0</v>
      </c>
      <c r="AA50" s="310">
        <f ca="1">VLOOKUP(E50,'1.2-Jaarprijzen'!$B$51:$Q$88,16,FALSE)*K50</f>
        <v>0</v>
      </c>
      <c r="AC50" s="226">
        <f t="shared" si="16"/>
        <v>0</v>
      </c>
      <c r="AD50" s="226" t="str">
        <f t="shared" si="17"/>
        <v>nvt-0</v>
      </c>
    </row>
    <row r="51" spans="1:30" ht="12.5">
      <c r="A51" s="276"/>
      <c r="B51" s="336"/>
      <c r="C51" s="337"/>
      <c r="D51" s="302">
        <f>VLOOKUP(E51,'1.2-Jaarprijzen'!B:G,6,FALSE)</f>
        <v>1</v>
      </c>
      <c r="E51" s="522" t="s">
        <v>79</v>
      </c>
      <c r="F51" s="302" t="s">
        <v>272</v>
      </c>
      <c r="G51" s="525" t="s">
        <v>273</v>
      </c>
      <c r="H51" s="523" t="s">
        <v>134</v>
      </c>
      <c r="I51" s="303" t="str">
        <f t="shared" si="12"/>
        <v>speellokaal</v>
      </c>
      <c r="J51" s="302" t="s">
        <v>264</v>
      </c>
      <c r="K51" s="304">
        <v>91.8</v>
      </c>
      <c r="L51" s="304"/>
      <c r="M51" s="305">
        <v>8200</v>
      </c>
      <c r="N51" s="302"/>
      <c r="O51" s="306">
        <f t="shared" si="18"/>
        <v>200</v>
      </c>
      <c r="P51" s="472">
        <v>1</v>
      </c>
      <c r="Q51" s="472">
        <v>1</v>
      </c>
      <c r="R51" s="300">
        <f t="shared" si="19"/>
        <v>52.693199999999997</v>
      </c>
      <c r="S51" s="300">
        <f t="shared" si="20"/>
        <v>6.6663603756356951</v>
      </c>
      <c r="T51" s="300">
        <f t="shared" si="21"/>
        <v>0</v>
      </c>
      <c r="U51" s="307">
        <f t="shared" si="13"/>
        <v>0.57399999999999995</v>
      </c>
      <c r="V51" s="307">
        <f t="shared" si="14"/>
        <v>7.2618304745486875E-2</v>
      </c>
      <c r="W51" s="307">
        <f t="shared" si="15"/>
        <v>0</v>
      </c>
      <c r="X51" s="308" t="str">
        <f t="shared" si="22"/>
        <v>L</v>
      </c>
      <c r="Y51" s="309"/>
      <c r="Z51" s="310">
        <f>(R51+S51+T51)*'1.0-Contractblad'!$L$37</f>
        <v>1802.6117169170457</v>
      </c>
      <c r="AA51" s="310">
        <f ca="1">VLOOKUP(E51,'1.2-Jaarprijzen'!$B$51:$Q$88,16,FALSE)*K51</f>
        <v>0</v>
      </c>
      <c r="AC51" s="226">
        <f t="shared" si="16"/>
        <v>18360</v>
      </c>
      <c r="AD51" s="226" t="str">
        <f t="shared" si="17"/>
        <v>8200-200</v>
      </c>
    </row>
    <row r="52" spans="1:30" ht="12.5">
      <c r="A52" s="276"/>
      <c r="B52" s="336"/>
      <c r="C52" s="337"/>
      <c r="D52" s="302">
        <f>VLOOKUP(E52,'1.2-Jaarprijzen'!B:G,6,FALSE)</f>
        <v>1</v>
      </c>
      <c r="E52" s="522" t="s">
        <v>79</v>
      </c>
      <c r="F52" s="302" t="s">
        <v>272</v>
      </c>
      <c r="G52" s="525" t="s">
        <v>274</v>
      </c>
      <c r="H52" s="524" t="s">
        <v>275</v>
      </c>
      <c r="I52" s="303" t="str">
        <f t="shared" si="12"/>
        <v>administratieve -, personeels- en vergaderruimte</v>
      </c>
      <c r="J52" s="302" t="s">
        <v>218</v>
      </c>
      <c r="K52" s="304">
        <v>15.809999999999999</v>
      </c>
      <c r="L52" s="304"/>
      <c r="M52" s="305">
        <v>1080</v>
      </c>
      <c r="N52" s="302"/>
      <c r="O52" s="306">
        <f t="shared" si="18"/>
        <v>80</v>
      </c>
      <c r="P52" s="472">
        <v>1</v>
      </c>
      <c r="Q52" s="472">
        <v>1</v>
      </c>
      <c r="R52" s="300">
        <f t="shared" si="19"/>
        <v>3.3079384615384617</v>
      </c>
      <c r="S52" s="300">
        <f t="shared" si="20"/>
        <v>0.58375384615384618</v>
      </c>
      <c r="T52" s="300">
        <f t="shared" si="21"/>
        <v>0</v>
      </c>
      <c r="U52" s="307">
        <f t="shared" si="13"/>
        <v>0.20923076923076925</v>
      </c>
      <c r="V52" s="307">
        <f t="shared" si="14"/>
        <v>3.6923076923076927E-2</v>
      </c>
      <c r="W52" s="307">
        <f t="shared" si="15"/>
        <v>0</v>
      </c>
      <c r="X52" s="308" t="str">
        <f t="shared" si="22"/>
        <v>V</v>
      </c>
      <c r="Y52" s="309"/>
      <c r="Z52" s="310">
        <f>(R52+S52+T52)*'1.0-Contractblad'!$L$37</f>
        <v>118.18163928588501</v>
      </c>
      <c r="AA52" s="310">
        <f ca="1">VLOOKUP(E52,'1.2-Jaarprijzen'!$B$51:$Q$88,16,FALSE)*K52</f>
        <v>0</v>
      </c>
      <c r="AC52" s="226">
        <f t="shared" si="16"/>
        <v>1264.8</v>
      </c>
      <c r="AD52" s="226" t="str">
        <f t="shared" si="17"/>
        <v>1080-80</v>
      </c>
    </row>
    <row r="53" spans="1:30" ht="12.5">
      <c r="A53" s="276"/>
      <c r="B53" s="336"/>
      <c r="C53" s="337"/>
      <c r="D53" s="302">
        <f>VLOOKUP(E53,'1.2-Jaarprijzen'!B:G,6,FALSE)</f>
        <v>1</v>
      </c>
      <c r="E53" s="522" t="s">
        <v>79</v>
      </c>
      <c r="F53" s="302" t="s">
        <v>272</v>
      </c>
      <c r="G53" s="525" t="s">
        <v>276</v>
      </c>
      <c r="H53" s="523" t="s">
        <v>277</v>
      </c>
      <c r="I53" s="303" t="str">
        <f t="shared" si="12"/>
        <v>entree, gang, hal, repro, kopieer, was/droogruimte</v>
      </c>
      <c r="J53" s="302" t="s">
        <v>218</v>
      </c>
      <c r="K53" s="304">
        <v>10.23</v>
      </c>
      <c r="L53" s="304"/>
      <c r="M53" s="305">
        <v>3200</v>
      </c>
      <c r="N53" s="302"/>
      <c r="O53" s="306">
        <f t="shared" si="18"/>
        <v>200</v>
      </c>
      <c r="P53" s="472">
        <v>1</v>
      </c>
      <c r="Q53" s="472">
        <v>1</v>
      </c>
      <c r="R53" s="300">
        <f t="shared" si="19"/>
        <v>3.8504475320711227</v>
      </c>
      <c r="S53" s="300">
        <f t="shared" si="20"/>
        <v>1.1614121632062355</v>
      </c>
      <c r="T53" s="300">
        <f t="shared" si="21"/>
        <v>0</v>
      </c>
      <c r="U53" s="307">
        <f t="shared" si="13"/>
        <v>0.37638783304703055</v>
      </c>
      <c r="V53" s="307">
        <f t="shared" si="14"/>
        <v>0.11353002572885977</v>
      </c>
      <c r="W53" s="307">
        <f t="shared" si="15"/>
        <v>0</v>
      </c>
      <c r="X53" s="308" t="str">
        <f t="shared" si="22"/>
        <v>V</v>
      </c>
      <c r="Y53" s="309" t="s">
        <v>214</v>
      </c>
      <c r="Z53" s="310">
        <f>(R53+S53+T53)*'1.0-Contractblad'!$L$37</f>
        <v>152.19851617970323</v>
      </c>
      <c r="AA53" s="310">
        <f ca="1">VLOOKUP(E53,'1.2-Jaarprijzen'!$B$51:$Q$88,16,FALSE)*K53</f>
        <v>0</v>
      </c>
      <c r="AC53" s="226">
        <f t="shared" si="16"/>
        <v>2046</v>
      </c>
      <c r="AD53" s="226" t="str">
        <f t="shared" si="17"/>
        <v>3200-200</v>
      </c>
    </row>
    <row r="54" spans="1:30" ht="12.5">
      <c r="A54" s="276"/>
      <c r="B54" s="336"/>
      <c r="C54" s="337"/>
      <c r="D54" s="302">
        <f>VLOOKUP(E54,'1.2-Jaarprijzen'!B:G,6,FALSE)</f>
        <v>1</v>
      </c>
      <c r="E54" s="522" t="s">
        <v>79</v>
      </c>
      <c r="F54" s="302" t="s">
        <v>272</v>
      </c>
      <c r="G54" s="525" t="s">
        <v>278</v>
      </c>
      <c r="H54" s="524" t="s">
        <v>220</v>
      </c>
      <c r="I54" s="303" t="str">
        <f t="shared" si="12"/>
        <v>sanitaire ruimte (toilet-/doucheruimte)</v>
      </c>
      <c r="J54" s="302" t="s">
        <v>221</v>
      </c>
      <c r="K54" s="304">
        <v>6.2</v>
      </c>
      <c r="L54" s="304"/>
      <c r="M54" s="305">
        <v>4200</v>
      </c>
      <c r="N54" s="302"/>
      <c r="O54" s="306">
        <f t="shared" si="18"/>
        <v>200</v>
      </c>
      <c r="P54" s="472">
        <v>1</v>
      </c>
      <c r="Q54" s="472">
        <v>1</v>
      </c>
      <c r="R54" s="300">
        <f t="shared" si="19"/>
        <v>16.616742866151665</v>
      </c>
      <c r="S54" s="300">
        <f t="shared" si="20"/>
        <v>2.9323663881444113</v>
      </c>
      <c r="T54" s="300">
        <f t="shared" si="21"/>
        <v>0</v>
      </c>
      <c r="U54" s="307">
        <f t="shared" si="13"/>
        <v>2.6801198171212359</v>
      </c>
      <c r="V54" s="307">
        <f t="shared" si="14"/>
        <v>0.4729623206684534</v>
      </c>
      <c r="W54" s="307">
        <f t="shared" si="15"/>
        <v>0</v>
      </c>
      <c r="X54" s="308" t="str">
        <f t="shared" si="22"/>
        <v>S</v>
      </c>
      <c r="Y54" s="309"/>
      <c r="Z54" s="310">
        <f>(R54+S54+T54)*'1.0-Contractblad'!$L$37</f>
        <v>593.66095661904012</v>
      </c>
      <c r="AA54" s="310">
        <f ca="1">VLOOKUP(E54,'1.2-Jaarprijzen'!$B$51:$Q$88,16,FALSE)*K54</f>
        <v>0</v>
      </c>
      <c r="AC54" s="226">
        <f t="shared" si="16"/>
        <v>1240</v>
      </c>
      <c r="AD54" s="226" t="str">
        <f t="shared" si="17"/>
        <v>4200-200</v>
      </c>
    </row>
    <row r="55" spans="1:30" ht="12.5">
      <c r="A55" s="276"/>
      <c r="B55" s="336"/>
      <c r="C55" s="337"/>
      <c r="D55" s="302">
        <f>VLOOKUP(E55,'1.2-Jaarprijzen'!B:G,6,FALSE)</f>
        <v>1</v>
      </c>
      <c r="E55" s="522" t="s">
        <v>79</v>
      </c>
      <c r="F55" s="302" t="s">
        <v>272</v>
      </c>
      <c r="G55" s="525" t="s">
        <v>279</v>
      </c>
      <c r="H55" s="523" t="s">
        <v>280</v>
      </c>
      <c r="I55" s="303" t="str">
        <f t="shared" si="12"/>
        <v>entree, gang, hal, repro, kopieer, was/droogruimte</v>
      </c>
      <c r="J55" s="302" t="s">
        <v>208</v>
      </c>
      <c r="K55" s="304">
        <v>5.8</v>
      </c>
      <c r="L55" s="304"/>
      <c r="M55" s="305">
        <v>3200</v>
      </c>
      <c r="N55" s="302"/>
      <c r="O55" s="306">
        <f t="shared" si="18"/>
        <v>200</v>
      </c>
      <c r="P55" s="472">
        <v>1</v>
      </c>
      <c r="Q55" s="472">
        <v>1</v>
      </c>
      <c r="R55" s="300">
        <f t="shared" si="19"/>
        <v>2.1830494316727771</v>
      </c>
      <c r="S55" s="300">
        <f t="shared" si="20"/>
        <v>0.65847414922738667</v>
      </c>
      <c r="T55" s="300">
        <f t="shared" si="21"/>
        <v>0</v>
      </c>
      <c r="U55" s="307">
        <f t="shared" si="13"/>
        <v>0.37638783304703055</v>
      </c>
      <c r="V55" s="307">
        <f t="shared" si="14"/>
        <v>0.11353002572885977</v>
      </c>
      <c r="W55" s="307">
        <f t="shared" si="15"/>
        <v>0</v>
      </c>
      <c r="X55" s="308" t="str">
        <f t="shared" si="22"/>
        <v>V</v>
      </c>
      <c r="Y55" s="309"/>
      <c r="Z55" s="310">
        <f>(R55+S55+T55)*'1.0-Contractblad'!$L$37</f>
        <v>86.290458831112289</v>
      </c>
      <c r="AA55" s="310">
        <f ca="1">VLOOKUP(E55,'1.2-Jaarprijzen'!$B$51:$Q$88,16,FALSE)*K55</f>
        <v>0</v>
      </c>
      <c r="AC55" s="226">
        <f t="shared" si="16"/>
        <v>1160</v>
      </c>
      <c r="AD55" s="226" t="str">
        <f t="shared" si="17"/>
        <v>3200-200</v>
      </c>
    </row>
    <row r="56" spans="1:30" ht="12.5">
      <c r="A56" s="276"/>
      <c r="B56" s="336"/>
      <c r="C56" s="337"/>
      <c r="D56" s="302">
        <f>VLOOKUP(E56,'1.2-Jaarprijzen'!B:G,6,FALSE)</f>
        <v>1</v>
      </c>
      <c r="E56" s="522" t="s">
        <v>79</v>
      </c>
      <c r="F56" s="302" t="s">
        <v>272</v>
      </c>
      <c r="G56" s="525" t="s">
        <v>281</v>
      </c>
      <c r="H56" s="523" t="s">
        <v>282</v>
      </c>
      <c r="I56" s="303" t="str">
        <f t="shared" si="12"/>
        <v>administratieve -, personeels- en vergaderruimte</v>
      </c>
      <c r="J56" s="302" t="s">
        <v>218</v>
      </c>
      <c r="K56" s="304">
        <v>28.6</v>
      </c>
      <c r="L56" s="304"/>
      <c r="M56" s="305">
        <v>1080</v>
      </c>
      <c r="N56" s="302"/>
      <c r="O56" s="306">
        <f t="shared" si="18"/>
        <v>80</v>
      </c>
      <c r="P56" s="472">
        <v>1</v>
      </c>
      <c r="Q56" s="472">
        <v>1</v>
      </c>
      <c r="R56" s="300">
        <f t="shared" si="19"/>
        <v>5.9840000000000009</v>
      </c>
      <c r="S56" s="300">
        <f t="shared" si="20"/>
        <v>1.056</v>
      </c>
      <c r="T56" s="300">
        <f t="shared" si="21"/>
        <v>0</v>
      </c>
      <c r="U56" s="307">
        <f t="shared" si="13"/>
        <v>0.20923076923076925</v>
      </c>
      <c r="V56" s="307">
        <f t="shared" si="14"/>
        <v>3.6923076923076927E-2</v>
      </c>
      <c r="W56" s="307">
        <f t="shared" si="15"/>
        <v>0</v>
      </c>
      <c r="X56" s="308" t="str">
        <f t="shared" si="22"/>
        <v>V</v>
      </c>
      <c r="Y56" s="309"/>
      <c r="Z56" s="310">
        <f>(R56+S56+T56)*'1.0-Contractblad'!$L$37</f>
        <v>213.78841768351117</v>
      </c>
      <c r="AA56" s="310">
        <f ca="1">VLOOKUP(E56,'1.2-Jaarprijzen'!$B$51:$Q$88,16,FALSE)*K56</f>
        <v>0</v>
      </c>
      <c r="AC56" s="226">
        <f t="shared" si="16"/>
        <v>2288</v>
      </c>
      <c r="AD56" s="226" t="str">
        <f t="shared" si="17"/>
        <v>1080-80</v>
      </c>
    </row>
    <row r="57" spans="1:30" ht="12.5">
      <c r="A57" s="276"/>
      <c r="B57" s="336"/>
      <c r="C57" s="337"/>
      <c r="D57" s="302">
        <f>VLOOKUP(E57,'1.2-Jaarprijzen'!B:G,6,FALSE)</f>
        <v>1</v>
      </c>
      <c r="E57" s="522" t="s">
        <v>79</v>
      </c>
      <c r="F57" s="302" t="s">
        <v>272</v>
      </c>
      <c r="G57" s="525" t="s">
        <v>283</v>
      </c>
      <c r="H57" s="523" t="s">
        <v>284</v>
      </c>
      <c r="I57" s="303" t="str">
        <f t="shared" si="12"/>
        <v>administratieve -, personeels- en vergaderruimte</v>
      </c>
      <c r="J57" s="302" t="s">
        <v>218</v>
      </c>
      <c r="K57" s="304">
        <v>12.3</v>
      </c>
      <c r="L57" s="304"/>
      <c r="M57" s="305">
        <v>1080</v>
      </c>
      <c r="N57" s="302"/>
      <c r="O57" s="306">
        <f t="shared" si="18"/>
        <v>80</v>
      </c>
      <c r="P57" s="472">
        <v>1</v>
      </c>
      <c r="Q57" s="472">
        <v>1</v>
      </c>
      <c r="R57" s="300">
        <f t="shared" si="19"/>
        <v>2.5735384615384618</v>
      </c>
      <c r="S57" s="300">
        <f t="shared" si="20"/>
        <v>0.45415384615384624</v>
      </c>
      <c r="T57" s="300">
        <f t="shared" si="21"/>
        <v>0</v>
      </c>
      <c r="U57" s="307">
        <f t="shared" si="13"/>
        <v>0.20923076923076925</v>
      </c>
      <c r="V57" s="307">
        <f t="shared" si="14"/>
        <v>3.6923076923076927E-2</v>
      </c>
      <c r="W57" s="307">
        <f t="shared" si="15"/>
        <v>0</v>
      </c>
      <c r="X57" s="308" t="str">
        <f t="shared" si="22"/>
        <v>V</v>
      </c>
      <c r="Y57" s="309"/>
      <c r="Z57" s="310">
        <f>(R57+S57+T57)*'1.0-Contractblad'!$L$37</f>
        <v>91.943969842908643</v>
      </c>
      <c r="AA57" s="310">
        <f ca="1">VLOOKUP(E57,'1.2-Jaarprijzen'!$B$51:$Q$88,16,FALSE)*K57</f>
        <v>0</v>
      </c>
      <c r="AC57" s="226">
        <f t="shared" si="16"/>
        <v>984</v>
      </c>
      <c r="AD57" s="226" t="str">
        <f t="shared" si="17"/>
        <v>1080-80</v>
      </c>
    </row>
    <row r="58" spans="1:30" ht="12.5">
      <c r="A58" s="276"/>
      <c r="B58" s="336"/>
      <c r="C58" s="337"/>
      <c r="D58" s="302">
        <f>VLOOKUP(E58,'1.2-Jaarprijzen'!B:G,6,FALSE)</f>
        <v>1</v>
      </c>
      <c r="E58" s="522" t="s">
        <v>79</v>
      </c>
      <c r="F58" s="302" t="s">
        <v>272</v>
      </c>
      <c r="G58" s="525" t="s">
        <v>285</v>
      </c>
      <c r="H58" s="523" t="s">
        <v>207</v>
      </c>
      <c r="I58" s="303" t="str">
        <f t="shared" si="12"/>
        <v>niet van toepassing</v>
      </c>
      <c r="J58" s="302" t="s">
        <v>208</v>
      </c>
      <c r="K58" s="304"/>
      <c r="L58" s="304">
        <v>1.9800000000000002</v>
      </c>
      <c r="M58" s="305" t="s">
        <v>147</v>
      </c>
      <c r="N58" s="302"/>
      <c r="O58" s="306">
        <f t="shared" si="18"/>
        <v>0</v>
      </c>
      <c r="P58" s="472">
        <v>1</v>
      </c>
      <c r="Q58" s="472">
        <v>1</v>
      </c>
      <c r="R58" s="300">
        <f t="shared" si="19"/>
        <v>0</v>
      </c>
      <c r="S58" s="300">
        <f t="shared" si="20"/>
        <v>0</v>
      </c>
      <c r="T58" s="300">
        <f t="shared" si="21"/>
        <v>0</v>
      </c>
      <c r="U58" s="307">
        <f t="shared" si="13"/>
        <v>0</v>
      </c>
      <c r="V58" s="307">
        <f t="shared" si="14"/>
        <v>0</v>
      </c>
      <c r="W58" s="307">
        <f t="shared" si="15"/>
        <v>0</v>
      </c>
      <c r="X58" s="308">
        <f t="shared" si="22"/>
        <v>0</v>
      </c>
      <c r="Y58" s="309"/>
      <c r="Z58" s="310">
        <f>(R58+S58+T58)*'1.0-Contractblad'!$L$37</f>
        <v>0</v>
      </c>
      <c r="AA58" s="310">
        <f ca="1">VLOOKUP(E58,'1.2-Jaarprijzen'!$B$51:$Q$88,16,FALSE)*K58</f>
        <v>0</v>
      </c>
      <c r="AC58" s="226">
        <f t="shared" si="16"/>
        <v>0</v>
      </c>
      <c r="AD58" s="226" t="str">
        <f t="shared" si="17"/>
        <v>nvt-0</v>
      </c>
    </row>
    <row r="59" spans="1:30" ht="12.5">
      <c r="A59" s="276"/>
      <c r="B59" s="336"/>
      <c r="C59" s="337"/>
      <c r="D59" s="302">
        <f>VLOOKUP(E59,'1.2-Jaarprijzen'!B:G,6,FALSE)</f>
        <v>1</v>
      </c>
      <c r="E59" s="522" t="s">
        <v>79</v>
      </c>
      <c r="F59" s="302" t="s">
        <v>272</v>
      </c>
      <c r="G59" s="525" t="s">
        <v>286</v>
      </c>
      <c r="H59" s="523" t="s">
        <v>287</v>
      </c>
      <c r="I59" s="303" t="str">
        <f t="shared" si="12"/>
        <v>leslokaal/leerplein</v>
      </c>
      <c r="J59" s="302" t="s">
        <v>218</v>
      </c>
      <c r="K59" s="304">
        <v>48.304999999999993</v>
      </c>
      <c r="L59" s="304"/>
      <c r="M59" s="305">
        <v>7200</v>
      </c>
      <c r="N59" s="302"/>
      <c r="O59" s="306">
        <f t="shared" si="18"/>
        <v>200</v>
      </c>
      <c r="P59" s="472">
        <v>1</v>
      </c>
      <c r="Q59" s="472">
        <v>1</v>
      </c>
      <c r="R59" s="300">
        <f t="shared" si="19"/>
        <v>25.267230769230768</v>
      </c>
      <c r="S59" s="300">
        <f t="shared" si="20"/>
        <v>4.4589230769230763</v>
      </c>
      <c r="T59" s="300">
        <f t="shared" si="21"/>
        <v>0</v>
      </c>
      <c r="U59" s="307">
        <f t="shared" si="13"/>
        <v>0.52307692307692311</v>
      </c>
      <c r="V59" s="307">
        <f t="shared" si="14"/>
        <v>9.2307692307692313E-2</v>
      </c>
      <c r="W59" s="307">
        <f t="shared" si="15"/>
        <v>0</v>
      </c>
      <c r="X59" s="308" t="str">
        <f t="shared" si="22"/>
        <v>L</v>
      </c>
      <c r="Y59" s="309"/>
      <c r="Z59" s="310">
        <f>(R59+S59+T59)*'1.0-Contractblad'!$L$37</f>
        <v>902.71411854912617</v>
      </c>
      <c r="AA59" s="310">
        <f ca="1">VLOOKUP(E59,'1.2-Jaarprijzen'!$B$51:$Q$88,16,FALSE)*K59</f>
        <v>0</v>
      </c>
      <c r="AC59" s="226">
        <f t="shared" si="16"/>
        <v>9660.9999999999982</v>
      </c>
      <c r="AD59" s="226" t="str">
        <f t="shared" si="17"/>
        <v>7200-200</v>
      </c>
    </row>
    <row r="60" spans="1:30" ht="12.5">
      <c r="A60" s="276"/>
      <c r="B60" s="336"/>
      <c r="C60" s="337"/>
      <c r="D60" s="302">
        <f>VLOOKUP(E60,'1.2-Jaarprijzen'!B:G,6,FALSE)</f>
        <v>1</v>
      </c>
      <c r="E60" s="522" t="s">
        <v>79</v>
      </c>
      <c r="F60" s="302" t="s">
        <v>272</v>
      </c>
      <c r="G60" s="525" t="s">
        <v>288</v>
      </c>
      <c r="H60" s="523" t="s">
        <v>289</v>
      </c>
      <c r="I60" s="303" t="str">
        <f t="shared" si="12"/>
        <v>leslokaal/leerplein</v>
      </c>
      <c r="J60" s="302" t="s">
        <v>218</v>
      </c>
      <c r="K60" s="304">
        <v>48.304999999999993</v>
      </c>
      <c r="L60" s="304"/>
      <c r="M60" s="305">
        <v>7200</v>
      </c>
      <c r="N60" s="302"/>
      <c r="O60" s="306">
        <f t="shared" si="18"/>
        <v>200</v>
      </c>
      <c r="P60" s="472">
        <v>1</v>
      </c>
      <c r="Q60" s="472">
        <v>1</v>
      </c>
      <c r="R60" s="300">
        <f t="shared" si="19"/>
        <v>25.267230769230768</v>
      </c>
      <c r="S60" s="300">
        <f t="shared" si="20"/>
        <v>4.4589230769230763</v>
      </c>
      <c r="T60" s="300">
        <f t="shared" si="21"/>
        <v>0</v>
      </c>
      <c r="U60" s="307">
        <f t="shared" si="13"/>
        <v>0.52307692307692311</v>
      </c>
      <c r="V60" s="307">
        <f t="shared" si="14"/>
        <v>9.2307692307692313E-2</v>
      </c>
      <c r="W60" s="307">
        <f t="shared" si="15"/>
        <v>0</v>
      </c>
      <c r="X60" s="308" t="str">
        <f t="shared" si="22"/>
        <v>L</v>
      </c>
      <c r="Y60" s="309"/>
      <c r="Z60" s="310">
        <f>(R60+S60+T60)*'1.0-Contractblad'!$L$37</f>
        <v>902.71411854912617</v>
      </c>
      <c r="AA60" s="310">
        <f ca="1">VLOOKUP(E60,'1.2-Jaarprijzen'!$B$51:$Q$88,16,FALSE)*K60</f>
        <v>0</v>
      </c>
      <c r="AC60" s="226">
        <f t="shared" si="16"/>
        <v>9660.9999999999982</v>
      </c>
      <c r="AD60" s="226" t="str">
        <f t="shared" si="17"/>
        <v>7200-200</v>
      </c>
    </row>
    <row r="61" spans="1:30" ht="12.5">
      <c r="A61" s="276"/>
      <c r="B61" s="336"/>
      <c r="C61" s="337"/>
      <c r="D61" s="302">
        <f>VLOOKUP(E61,'1.2-Jaarprijzen'!B:G,6,FALSE)</f>
        <v>1</v>
      </c>
      <c r="E61" s="522" t="s">
        <v>79</v>
      </c>
      <c r="F61" s="302" t="s">
        <v>272</v>
      </c>
      <c r="G61" s="525" t="s">
        <v>290</v>
      </c>
      <c r="H61" s="523" t="s">
        <v>220</v>
      </c>
      <c r="I61" s="303" t="str">
        <f t="shared" si="12"/>
        <v>sanitaire ruimte (toilet-/doucheruimte)</v>
      </c>
      <c r="J61" s="302" t="s">
        <v>221</v>
      </c>
      <c r="K61" s="304">
        <v>5.4740000000000002</v>
      </c>
      <c r="L61" s="304"/>
      <c r="M61" s="305">
        <v>4200</v>
      </c>
      <c r="N61" s="302"/>
      <c r="O61" s="306">
        <f t="shared" si="18"/>
        <v>200</v>
      </c>
      <c r="P61" s="472">
        <v>1</v>
      </c>
      <c r="Q61" s="472">
        <v>1</v>
      </c>
      <c r="R61" s="300">
        <f t="shared" si="19"/>
        <v>14.670975878921645</v>
      </c>
      <c r="S61" s="300">
        <f t="shared" si="20"/>
        <v>2.588995743339114</v>
      </c>
      <c r="T61" s="300">
        <f t="shared" si="21"/>
        <v>0</v>
      </c>
      <c r="U61" s="307">
        <f t="shared" si="13"/>
        <v>2.6801198171212359</v>
      </c>
      <c r="V61" s="307">
        <f t="shared" si="14"/>
        <v>0.4729623206684534</v>
      </c>
      <c r="W61" s="307">
        <f t="shared" si="15"/>
        <v>0</v>
      </c>
      <c r="X61" s="308" t="str">
        <f t="shared" si="22"/>
        <v>S</v>
      </c>
      <c r="Y61" s="309"/>
      <c r="Z61" s="310">
        <f>(R61+S61+T61)*'1.0-Contractblad'!$L$37</f>
        <v>524.14517363429445</v>
      </c>
      <c r="AA61" s="310">
        <f ca="1">VLOOKUP(E61,'1.2-Jaarprijzen'!$B$51:$Q$88,16,FALSE)*K61</f>
        <v>0</v>
      </c>
      <c r="AC61" s="226">
        <f t="shared" si="16"/>
        <v>1094.8</v>
      </c>
      <c r="AD61" s="226" t="str">
        <f t="shared" si="17"/>
        <v>4200-200</v>
      </c>
    </row>
    <row r="62" spans="1:30" ht="12.5">
      <c r="A62" s="276"/>
      <c r="B62" s="336"/>
      <c r="C62" s="337"/>
      <c r="D62" s="302">
        <f>VLOOKUP(E62,'1.2-Jaarprijzen'!B:G,6,FALSE)</f>
        <v>1</v>
      </c>
      <c r="E62" s="522" t="s">
        <v>79</v>
      </c>
      <c r="F62" s="302" t="s">
        <v>272</v>
      </c>
      <c r="G62" s="525" t="s">
        <v>291</v>
      </c>
      <c r="H62" s="523" t="s">
        <v>292</v>
      </c>
      <c r="I62" s="303" t="str">
        <f t="shared" si="12"/>
        <v>leslokaal/leerplein</v>
      </c>
      <c r="J62" s="302" t="s">
        <v>218</v>
      </c>
      <c r="K62" s="304">
        <v>48.304999999999993</v>
      </c>
      <c r="L62" s="304"/>
      <c r="M62" s="305">
        <v>7200</v>
      </c>
      <c r="N62" s="302"/>
      <c r="O62" s="306">
        <f t="shared" ref="O62" si="23">VLOOKUP(M62,Kengetal,3,FALSE)+VLOOKUP(N62,Kengetal,3,FALSE)</f>
        <v>200</v>
      </c>
      <c r="P62" s="472">
        <v>1</v>
      </c>
      <c r="Q62" s="472">
        <v>1</v>
      </c>
      <c r="R62" s="300">
        <f t="shared" ref="R62" si="24">U62*K62*P62</f>
        <v>25.267230769230768</v>
      </c>
      <c r="S62" s="300">
        <f t="shared" ref="S62" si="25">V62*K62*Q62</f>
        <v>4.4589230769230763</v>
      </c>
      <c r="T62" s="300">
        <f t="shared" ref="T62" si="26">W62*K62*P62</f>
        <v>0</v>
      </c>
      <c r="U62" s="307">
        <f t="shared" si="13"/>
        <v>0.52307692307692311</v>
      </c>
      <c r="V62" s="307">
        <f t="shared" si="14"/>
        <v>9.2307692307692313E-2</v>
      </c>
      <c r="W62" s="307">
        <f t="shared" si="15"/>
        <v>0</v>
      </c>
      <c r="X62" s="308" t="str">
        <f t="shared" ref="X62" si="27">IF(M62="","",VLOOKUP(M62,Kengetal,13,FALSE))</f>
        <v>L</v>
      </c>
      <c r="Y62" s="309"/>
      <c r="Z62" s="310">
        <f>(R62+S62+T62)*'1.0-Contractblad'!$L$37</f>
        <v>902.71411854912617</v>
      </c>
      <c r="AA62" s="310">
        <f ca="1">VLOOKUP(E62,'1.2-Jaarprijzen'!$B$51:$Q$88,16,FALSE)*K62</f>
        <v>0</v>
      </c>
      <c r="AC62" s="226">
        <f t="shared" si="16"/>
        <v>9660.9999999999982</v>
      </c>
      <c r="AD62" s="226" t="str">
        <f t="shared" si="17"/>
        <v>7200-200</v>
      </c>
    </row>
    <row r="63" spans="1:30" ht="16" customHeight="1">
      <c r="A63" s="276"/>
      <c r="B63" s="336"/>
      <c r="C63" s="337"/>
      <c r="D63" s="302">
        <f>VLOOKUP(E63,'1.2-Jaarprijzen'!B:G,6,FALSE)</f>
        <v>1</v>
      </c>
      <c r="E63" s="522" t="s">
        <v>79</v>
      </c>
      <c r="F63" s="302" t="s">
        <v>272</v>
      </c>
      <c r="G63" s="525" t="s">
        <v>293</v>
      </c>
      <c r="H63" s="523" t="s">
        <v>220</v>
      </c>
      <c r="I63" s="303" t="str">
        <f t="shared" si="12"/>
        <v>sanitaire ruimte (toilet-/doucheruimte)</v>
      </c>
      <c r="J63" s="302" t="s">
        <v>221</v>
      </c>
      <c r="K63" s="304">
        <v>5.4740000000000002</v>
      </c>
      <c r="L63" s="304"/>
      <c r="M63" s="305">
        <v>4200</v>
      </c>
      <c r="N63" s="302"/>
      <c r="O63" s="306">
        <f t="shared" si="18"/>
        <v>200</v>
      </c>
      <c r="P63" s="472">
        <v>1</v>
      </c>
      <c r="Q63" s="472">
        <v>1</v>
      </c>
      <c r="R63" s="300">
        <f t="shared" si="19"/>
        <v>14.670975878921645</v>
      </c>
      <c r="S63" s="300">
        <f t="shared" si="20"/>
        <v>2.588995743339114</v>
      </c>
      <c r="T63" s="300">
        <f t="shared" si="21"/>
        <v>0</v>
      </c>
      <c r="U63" s="307">
        <f t="shared" si="13"/>
        <v>2.6801198171212359</v>
      </c>
      <c r="V63" s="307">
        <f t="shared" si="14"/>
        <v>0.4729623206684534</v>
      </c>
      <c r="W63" s="307">
        <f t="shared" si="15"/>
        <v>0</v>
      </c>
      <c r="X63" s="308" t="str">
        <f t="shared" si="22"/>
        <v>S</v>
      </c>
      <c r="Y63" s="309"/>
      <c r="Z63" s="310">
        <f>(R63+S63+T63)*'1.0-Contractblad'!$L$37</f>
        <v>524.14517363429445</v>
      </c>
      <c r="AA63" s="310">
        <f ca="1">VLOOKUP(E63,'1.2-Jaarprijzen'!$B$51:$Q$88,16,FALSE)*K63</f>
        <v>0</v>
      </c>
      <c r="AC63" s="226">
        <f t="shared" si="16"/>
        <v>1094.8</v>
      </c>
      <c r="AD63" s="226" t="str">
        <f t="shared" si="17"/>
        <v>4200-200</v>
      </c>
    </row>
    <row r="64" spans="1:30" ht="16" customHeight="1">
      <c r="A64" s="276"/>
      <c r="B64" s="336"/>
      <c r="C64" s="337"/>
      <c r="D64" s="302">
        <f>VLOOKUP(E64,'1.2-Jaarprijzen'!B:G,6,FALSE)</f>
        <v>1</v>
      </c>
      <c r="E64" s="522" t="s">
        <v>79</v>
      </c>
      <c r="F64" s="302" t="s">
        <v>272</v>
      </c>
      <c r="G64" s="525" t="s">
        <v>294</v>
      </c>
      <c r="H64" s="523" t="s">
        <v>295</v>
      </c>
      <c r="I64" s="303" t="str">
        <f t="shared" si="12"/>
        <v>leslokaal/leerplein</v>
      </c>
      <c r="J64" s="302" t="s">
        <v>218</v>
      </c>
      <c r="K64" s="304">
        <v>48.304999999999993</v>
      </c>
      <c r="L64" s="304"/>
      <c r="M64" s="305">
        <v>7200</v>
      </c>
      <c r="N64" s="302"/>
      <c r="O64" s="306">
        <f t="shared" si="18"/>
        <v>200</v>
      </c>
      <c r="P64" s="472">
        <v>1</v>
      </c>
      <c r="Q64" s="472">
        <v>1</v>
      </c>
      <c r="R64" s="300">
        <f t="shared" si="19"/>
        <v>25.267230769230768</v>
      </c>
      <c r="S64" s="300">
        <f t="shared" si="20"/>
        <v>4.4589230769230763</v>
      </c>
      <c r="T64" s="300">
        <f t="shared" si="21"/>
        <v>0</v>
      </c>
      <c r="U64" s="307">
        <f t="shared" si="13"/>
        <v>0.52307692307692311</v>
      </c>
      <c r="V64" s="307">
        <f t="shared" si="14"/>
        <v>9.2307692307692313E-2</v>
      </c>
      <c r="W64" s="307">
        <f t="shared" si="15"/>
        <v>0</v>
      </c>
      <c r="X64" s="308" t="str">
        <f t="shared" si="22"/>
        <v>L</v>
      </c>
      <c r="Y64" s="309"/>
      <c r="Z64" s="310">
        <f>(R64+S64+T64)*'1.0-Contractblad'!$L$37</f>
        <v>902.71411854912617</v>
      </c>
      <c r="AA64" s="310">
        <f ca="1">VLOOKUP(E64,'1.2-Jaarprijzen'!$B$51:$Q$88,16,FALSE)*K64</f>
        <v>0</v>
      </c>
      <c r="AC64" s="226">
        <f t="shared" si="16"/>
        <v>9660.9999999999982</v>
      </c>
      <c r="AD64" s="226" t="str">
        <f t="shared" si="17"/>
        <v>7200-200</v>
      </c>
    </row>
    <row r="65" spans="1:30" ht="16" customHeight="1">
      <c r="A65" s="276"/>
      <c r="B65" s="336"/>
      <c r="C65" s="337"/>
      <c r="D65" s="302">
        <f>VLOOKUP(E65,'1.2-Jaarprijzen'!B:G,6,FALSE)</f>
        <v>1</v>
      </c>
      <c r="E65" s="522" t="s">
        <v>79</v>
      </c>
      <c r="F65" s="302" t="s">
        <v>272</v>
      </c>
      <c r="G65" s="525" t="s">
        <v>296</v>
      </c>
      <c r="H65" s="523" t="s">
        <v>297</v>
      </c>
      <c r="I65" s="303" t="str">
        <f t="shared" si="12"/>
        <v>leslokaal/leerplein</v>
      </c>
      <c r="J65" s="302" t="s">
        <v>218</v>
      </c>
      <c r="K65" s="304">
        <v>48.304999999999993</v>
      </c>
      <c r="L65" s="304"/>
      <c r="M65" s="305">
        <v>7200</v>
      </c>
      <c r="N65" s="302"/>
      <c r="O65" s="306">
        <f t="shared" si="18"/>
        <v>200</v>
      </c>
      <c r="P65" s="472">
        <v>1</v>
      </c>
      <c r="Q65" s="472">
        <v>1</v>
      </c>
      <c r="R65" s="300">
        <f t="shared" si="19"/>
        <v>25.267230769230768</v>
      </c>
      <c r="S65" s="300">
        <f t="shared" si="20"/>
        <v>4.4589230769230763</v>
      </c>
      <c r="T65" s="300">
        <f t="shared" si="21"/>
        <v>0</v>
      </c>
      <c r="U65" s="307">
        <f t="shared" si="13"/>
        <v>0.52307692307692311</v>
      </c>
      <c r="V65" s="307">
        <f t="shared" si="14"/>
        <v>9.2307692307692313E-2</v>
      </c>
      <c r="W65" s="307">
        <f t="shared" si="15"/>
        <v>0</v>
      </c>
      <c r="X65" s="308" t="str">
        <f t="shared" si="22"/>
        <v>L</v>
      </c>
      <c r="Y65" s="309"/>
      <c r="Z65" s="310">
        <f>(R65+S65+T65)*'1.0-Contractblad'!$L$37</f>
        <v>902.71411854912617</v>
      </c>
      <c r="AA65" s="310">
        <f ca="1">VLOOKUP(E65,'1.2-Jaarprijzen'!$B$51:$Q$88,16,FALSE)*K65</f>
        <v>0</v>
      </c>
      <c r="AC65" s="226">
        <f t="shared" si="16"/>
        <v>9660.9999999999982</v>
      </c>
      <c r="AD65" s="226" t="str">
        <f t="shared" si="17"/>
        <v>7200-200</v>
      </c>
    </row>
    <row r="66" spans="1:30" ht="12.5">
      <c r="A66" s="276"/>
      <c r="B66" s="336"/>
      <c r="C66" s="337"/>
      <c r="D66" s="302">
        <f>VLOOKUP(E66,'1.2-Jaarprijzen'!B:G,6,FALSE)</f>
        <v>1</v>
      </c>
      <c r="E66" s="522" t="s">
        <v>79</v>
      </c>
      <c r="F66" s="302" t="s">
        <v>272</v>
      </c>
      <c r="G66" s="525" t="s">
        <v>298</v>
      </c>
      <c r="H66" s="523" t="s">
        <v>220</v>
      </c>
      <c r="I66" s="303" t="str">
        <f t="shared" si="11"/>
        <v>sanitaire ruimte (toilet-/doucheruimte)</v>
      </c>
      <c r="J66" s="302" t="s">
        <v>221</v>
      </c>
      <c r="K66" s="304">
        <v>5.4740000000000002</v>
      </c>
      <c r="L66" s="304"/>
      <c r="M66" s="305">
        <v>4200</v>
      </c>
      <c r="N66" s="302"/>
      <c r="O66" s="306">
        <f t="shared" si="18"/>
        <v>200</v>
      </c>
      <c r="P66" s="472">
        <v>1</v>
      </c>
      <c r="Q66" s="472">
        <v>1</v>
      </c>
      <c r="R66" s="300">
        <f t="shared" si="19"/>
        <v>14.670975878921645</v>
      </c>
      <c r="S66" s="300">
        <f t="shared" si="20"/>
        <v>2.588995743339114</v>
      </c>
      <c r="T66" s="300">
        <f t="shared" si="21"/>
        <v>0</v>
      </c>
      <c r="U66" s="307">
        <f t="shared" si="13"/>
        <v>2.6801198171212359</v>
      </c>
      <c r="V66" s="307">
        <f t="shared" si="14"/>
        <v>0.4729623206684534</v>
      </c>
      <c r="W66" s="307">
        <f t="shared" si="15"/>
        <v>0</v>
      </c>
      <c r="X66" s="308" t="str">
        <f t="shared" si="22"/>
        <v>S</v>
      </c>
      <c r="Y66" s="309"/>
      <c r="Z66" s="310">
        <f>(R66+S66+T66)*'1.0-Contractblad'!$L$37</f>
        <v>524.14517363429445</v>
      </c>
      <c r="AA66" s="310">
        <f ca="1">VLOOKUP(E66,'1.2-Jaarprijzen'!$B$51:$Q$88,16,FALSE)*K66</f>
        <v>0</v>
      </c>
      <c r="AC66" s="226">
        <f t="shared" si="16"/>
        <v>1094.8</v>
      </c>
      <c r="AD66" s="226" t="str">
        <f t="shared" si="17"/>
        <v>4200-200</v>
      </c>
    </row>
    <row r="67" spans="1:30" ht="12.5">
      <c r="A67" s="276"/>
      <c r="B67" s="336"/>
      <c r="C67" s="337"/>
      <c r="D67" s="302">
        <f>VLOOKUP(E67,'1.2-Jaarprijzen'!B:G,6,FALSE)</f>
        <v>1</v>
      </c>
      <c r="E67" s="522" t="s">
        <v>79</v>
      </c>
      <c r="F67" s="302" t="s">
        <v>272</v>
      </c>
      <c r="G67" s="525" t="s">
        <v>299</v>
      </c>
      <c r="H67" s="523" t="s">
        <v>300</v>
      </c>
      <c r="I67" s="303" t="str">
        <f t="shared" si="11"/>
        <v>leslokaal/leerplein</v>
      </c>
      <c r="J67" s="302" t="s">
        <v>218</v>
      </c>
      <c r="K67" s="304">
        <v>48.304999999999993</v>
      </c>
      <c r="L67" s="304"/>
      <c r="M67" s="305">
        <v>7200</v>
      </c>
      <c r="N67" s="302"/>
      <c r="O67" s="306">
        <f t="shared" si="18"/>
        <v>200</v>
      </c>
      <c r="P67" s="472">
        <v>1</v>
      </c>
      <c r="Q67" s="472">
        <v>1</v>
      </c>
      <c r="R67" s="300">
        <f t="shared" si="19"/>
        <v>25.267230769230768</v>
      </c>
      <c r="S67" s="300">
        <f t="shared" si="20"/>
        <v>4.4589230769230763</v>
      </c>
      <c r="T67" s="300">
        <f t="shared" si="21"/>
        <v>0</v>
      </c>
      <c r="U67" s="307">
        <f t="shared" si="13"/>
        <v>0.52307692307692311</v>
      </c>
      <c r="V67" s="307">
        <f t="shared" si="14"/>
        <v>9.2307692307692313E-2</v>
      </c>
      <c r="W67" s="307">
        <f t="shared" si="15"/>
        <v>0</v>
      </c>
      <c r="X67" s="308" t="str">
        <f t="shared" si="22"/>
        <v>L</v>
      </c>
      <c r="Y67" s="309"/>
      <c r="Z67" s="310">
        <f>(R67+S67+T67)*'1.0-Contractblad'!$L$37</f>
        <v>902.71411854912617</v>
      </c>
      <c r="AA67" s="310">
        <f ca="1">VLOOKUP(E67,'1.2-Jaarprijzen'!$B$51:$Q$88,16,FALSE)*K67</f>
        <v>0</v>
      </c>
      <c r="AC67" s="226">
        <f t="shared" si="16"/>
        <v>9660.9999999999982</v>
      </c>
      <c r="AD67" s="226" t="str">
        <f t="shared" si="17"/>
        <v>7200-200</v>
      </c>
    </row>
    <row r="68" spans="1:30" ht="12.5">
      <c r="A68" s="276"/>
      <c r="B68" s="336"/>
      <c r="C68" s="337"/>
      <c r="D68" s="302">
        <f>VLOOKUP(E68,'1.2-Jaarprijzen'!B:G,6,FALSE)</f>
        <v>1</v>
      </c>
      <c r="E68" s="522" t="s">
        <v>79</v>
      </c>
      <c r="F68" s="302" t="s">
        <v>272</v>
      </c>
      <c r="G68" s="525" t="s">
        <v>301</v>
      </c>
      <c r="H68" s="523" t="s">
        <v>247</v>
      </c>
      <c r="I68" s="303" t="str">
        <f t="shared" si="11"/>
        <v>niet van toepassing</v>
      </c>
      <c r="J68" s="302" t="s">
        <v>208</v>
      </c>
      <c r="K68" s="304"/>
      <c r="L68" s="304">
        <v>5.8</v>
      </c>
      <c r="M68" s="305" t="s">
        <v>147</v>
      </c>
      <c r="N68" s="302"/>
      <c r="O68" s="306">
        <f t="shared" si="18"/>
        <v>0</v>
      </c>
      <c r="P68" s="472">
        <v>1</v>
      </c>
      <c r="Q68" s="472">
        <v>1</v>
      </c>
      <c r="R68" s="300">
        <f t="shared" si="19"/>
        <v>0</v>
      </c>
      <c r="S68" s="300">
        <f t="shared" si="20"/>
        <v>0</v>
      </c>
      <c r="T68" s="300">
        <f t="shared" si="21"/>
        <v>0</v>
      </c>
      <c r="U68" s="307">
        <f t="shared" si="13"/>
        <v>0</v>
      </c>
      <c r="V68" s="307">
        <f t="shared" si="14"/>
        <v>0</v>
      </c>
      <c r="W68" s="307">
        <f t="shared" si="15"/>
        <v>0</v>
      </c>
      <c r="X68" s="308">
        <f t="shared" si="22"/>
        <v>0</v>
      </c>
      <c r="Y68" s="309"/>
      <c r="Z68" s="310">
        <f>(R68+S68+T68)*'1.0-Contractblad'!$L$37</f>
        <v>0</v>
      </c>
      <c r="AA68" s="310">
        <f ca="1">VLOOKUP(E68,'1.2-Jaarprijzen'!$B$51:$Q$88,16,FALSE)*K68</f>
        <v>0</v>
      </c>
      <c r="AC68" s="226">
        <f t="shared" si="16"/>
        <v>0</v>
      </c>
      <c r="AD68" s="226" t="str">
        <f t="shared" si="17"/>
        <v>nvt-0</v>
      </c>
    </row>
    <row r="69" spans="1:30" ht="12.5">
      <c r="A69" s="276"/>
      <c r="B69" s="336"/>
      <c r="C69" s="337"/>
      <c r="D69" s="302">
        <f>VLOOKUP(E69,'1.2-Jaarprijzen'!B:G,6,FALSE)</f>
        <v>1</v>
      </c>
      <c r="E69" s="522" t="s">
        <v>79</v>
      </c>
      <c r="F69" s="302" t="s">
        <v>272</v>
      </c>
      <c r="G69" s="525" t="s">
        <v>302</v>
      </c>
      <c r="H69" s="523" t="s">
        <v>243</v>
      </c>
      <c r="I69" s="303" t="str">
        <f t="shared" si="11"/>
        <v>leslokaal/bevo/handvaardigheid</v>
      </c>
      <c r="J69" s="302" t="s">
        <v>218</v>
      </c>
      <c r="K69" s="304">
        <v>47.599999999999994</v>
      </c>
      <c r="L69" s="304"/>
      <c r="M69" s="305">
        <v>7040</v>
      </c>
      <c r="N69" s="302"/>
      <c r="O69" s="306">
        <f t="shared" si="18"/>
        <v>40</v>
      </c>
      <c r="P69" s="472">
        <v>1</v>
      </c>
      <c r="Q69" s="472">
        <v>1</v>
      </c>
      <c r="R69" s="300">
        <f t="shared" si="19"/>
        <v>5.9756307692307686</v>
      </c>
      <c r="S69" s="300">
        <f t="shared" si="20"/>
        <v>4.3938461538461535</v>
      </c>
      <c r="T69" s="300">
        <f t="shared" si="21"/>
        <v>0</v>
      </c>
      <c r="U69" s="307">
        <f t="shared" si="13"/>
        <v>0.12553846153846154</v>
      </c>
      <c r="V69" s="307">
        <f t="shared" si="14"/>
        <v>9.2307692307692313E-2</v>
      </c>
      <c r="W69" s="307">
        <f t="shared" si="15"/>
        <v>0</v>
      </c>
      <c r="X69" s="308" t="str">
        <f t="shared" si="22"/>
        <v>L</v>
      </c>
      <c r="Y69" s="309"/>
      <c r="Z69" s="310">
        <f>(R69+S69+T69)*'1.0-Contractblad'!$L$37</f>
        <v>314.89688403271288</v>
      </c>
      <c r="AA69" s="310">
        <f ca="1">VLOOKUP(E69,'1.2-Jaarprijzen'!$B$51:$Q$88,16,FALSE)*K69</f>
        <v>0</v>
      </c>
      <c r="AC69" s="226">
        <f t="shared" si="16"/>
        <v>1903.9999999999998</v>
      </c>
      <c r="AD69" s="226" t="str">
        <f t="shared" si="17"/>
        <v>7040-40</v>
      </c>
    </row>
    <row r="70" spans="1:30" ht="12.5">
      <c r="A70" s="276"/>
      <c r="B70" s="336"/>
      <c r="C70" s="337"/>
      <c r="D70" s="302">
        <f>VLOOKUP(E70,'1.2-Jaarprijzen'!B:G,6,FALSE)</f>
        <v>1</v>
      </c>
      <c r="E70" s="522" t="s">
        <v>79</v>
      </c>
      <c r="F70" s="302" t="s">
        <v>272</v>
      </c>
      <c r="G70" s="525" t="s">
        <v>303</v>
      </c>
      <c r="H70" s="523" t="s">
        <v>304</v>
      </c>
      <c r="I70" s="303" t="str">
        <f t="shared" si="11"/>
        <v>administratieve -, personeels- en vergaderruimte</v>
      </c>
      <c r="J70" s="302" t="s">
        <v>218</v>
      </c>
      <c r="K70" s="304">
        <v>26</v>
      </c>
      <c r="L70" s="304"/>
      <c r="M70" s="305">
        <v>1080</v>
      </c>
      <c r="N70" s="302"/>
      <c r="O70" s="306">
        <f t="shared" si="18"/>
        <v>80</v>
      </c>
      <c r="P70" s="472">
        <v>1</v>
      </c>
      <c r="Q70" s="472">
        <v>1</v>
      </c>
      <c r="R70" s="300">
        <f t="shared" si="19"/>
        <v>5.44</v>
      </c>
      <c r="S70" s="300">
        <f t="shared" si="20"/>
        <v>0.96000000000000008</v>
      </c>
      <c r="T70" s="300">
        <f t="shared" si="21"/>
        <v>0</v>
      </c>
      <c r="U70" s="307">
        <f t="shared" si="13"/>
        <v>0.20923076923076925</v>
      </c>
      <c r="V70" s="307">
        <f t="shared" si="14"/>
        <v>3.6923076923076927E-2</v>
      </c>
      <c r="W70" s="307">
        <f t="shared" si="15"/>
        <v>0</v>
      </c>
      <c r="X70" s="308" t="str">
        <f t="shared" si="22"/>
        <v>V</v>
      </c>
      <c r="Y70" s="309"/>
      <c r="Z70" s="310">
        <f>(R70+S70+T70)*'1.0-Contractblad'!$L$37</f>
        <v>194.35310698501013</v>
      </c>
      <c r="AA70" s="310">
        <f ca="1">VLOOKUP(E70,'1.2-Jaarprijzen'!$B$51:$Q$88,16,FALSE)*K70</f>
        <v>0</v>
      </c>
      <c r="AC70" s="226">
        <f t="shared" si="16"/>
        <v>2080</v>
      </c>
      <c r="AD70" s="226" t="str">
        <f t="shared" si="17"/>
        <v>1080-80</v>
      </c>
    </row>
    <row r="71" spans="1:30" ht="12.5">
      <c r="A71" s="276"/>
      <c r="B71" s="336"/>
      <c r="C71" s="337"/>
      <c r="D71" s="302">
        <f>VLOOKUP(E71,'1.2-Jaarprijzen'!B:G,6,FALSE)</f>
        <v>1</v>
      </c>
      <c r="E71" s="522" t="s">
        <v>79</v>
      </c>
      <c r="F71" s="302" t="s">
        <v>272</v>
      </c>
      <c r="G71" s="525" t="s">
        <v>305</v>
      </c>
      <c r="H71" s="523" t="s">
        <v>280</v>
      </c>
      <c r="I71" s="303" t="str">
        <f t="shared" si="11"/>
        <v>entree, gang, hal, repro, kopieer, was/droogruimte</v>
      </c>
      <c r="J71" s="302" t="s">
        <v>208</v>
      </c>
      <c r="K71" s="304">
        <v>5.8</v>
      </c>
      <c r="L71" s="304"/>
      <c r="M71" s="305">
        <v>3200</v>
      </c>
      <c r="N71" s="302"/>
      <c r="O71" s="306">
        <f t="shared" si="18"/>
        <v>200</v>
      </c>
      <c r="P71" s="472">
        <v>1</v>
      </c>
      <c r="Q71" s="472">
        <v>1</v>
      </c>
      <c r="R71" s="300">
        <f t="shared" si="19"/>
        <v>2.1830494316727771</v>
      </c>
      <c r="S71" s="300">
        <f t="shared" si="20"/>
        <v>0.65847414922738667</v>
      </c>
      <c r="T71" s="300">
        <f t="shared" si="21"/>
        <v>0</v>
      </c>
      <c r="U71" s="307">
        <f t="shared" si="13"/>
        <v>0.37638783304703055</v>
      </c>
      <c r="V71" s="307">
        <f t="shared" si="14"/>
        <v>0.11353002572885977</v>
      </c>
      <c r="W71" s="307">
        <f t="shared" si="15"/>
        <v>0</v>
      </c>
      <c r="X71" s="308" t="str">
        <f t="shared" si="22"/>
        <v>V</v>
      </c>
      <c r="Y71" s="309"/>
      <c r="Z71" s="310">
        <f>(R71+S71+T71)*'1.0-Contractblad'!$L$37</f>
        <v>86.290458831112289</v>
      </c>
      <c r="AA71" s="310">
        <f ca="1">VLOOKUP(E71,'1.2-Jaarprijzen'!$B$51:$Q$88,16,FALSE)*K71</f>
        <v>0</v>
      </c>
      <c r="AC71" s="226">
        <f t="shared" si="16"/>
        <v>1160</v>
      </c>
      <c r="AD71" s="226" t="str">
        <f t="shared" si="17"/>
        <v>3200-200</v>
      </c>
    </row>
    <row r="72" spans="1:30" ht="12.5">
      <c r="A72" s="276"/>
      <c r="B72" s="336"/>
      <c r="C72" s="337"/>
      <c r="D72" s="302">
        <f>VLOOKUP(E72,'1.2-Jaarprijzen'!B:G,6,FALSE)</f>
        <v>1</v>
      </c>
      <c r="E72" s="522" t="s">
        <v>79</v>
      </c>
      <c r="F72" s="302" t="s">
        <v>272</v>
      </c>
      <c r="G72" s="525" t="s">
        <v>306</v>
      </c>
      <c r="H72" s="523" t="s">
        <v>307</v>
      </c>
      <c r="I72" s="303" t="str">
        <f t="shared" si="11"/>
        <v>administratieve -, personeels- en vergaderruimte</v>
      </c>
      <c r="J72" s="302" t="s">
        <v>218</v>
      </c>
      <c r="K72" s="304">
        <v>12.3</v>
      </c>
      <c r="L72" s="304"/>
      <c r="M72" s="305">
        <v>1080</v>
      </c>
      <c r="N72" s="302"/>
      <c r="O72" s="306">
        <f t="shared" si="18"/>
        <v>80</v>
      </c>
      <c r="P72" s="472">
        <v>1</v>
      </c>
      <c r="Q72" s="472">
        <v>1</v>
      </c>
      <c r="R72" s="300">
        <f t="shared" si="19"/>
        <v>2.5735384615384618</v>
      </c>
      <c r="S72" s="300">
        <f t="shared" si="20"/>
        <v>0.45415384615384624</v>
      </c>
      <c r="T72" s="300">
        <f t="shared" si="21"/>
        <v>0</v>
      </c>
      <c r="U72" s="307">
        <f t="shared" si="13"/>
        <v>0.20923076923076925</v>
      </c>
      <c r="V72" s="307">
        <f t="shared" si="14"/>
        <v>3.6923076923076927E-2</v>
      </c>
      <c r="W72" s="307">
        <f t="shared" si="15"/>
        <v>0</v>
      </c>
      <c r="X72" s="308" t="str">
        <f t="shared" si="22"/>
        <v>V</v>
      </c>
      <c r="Y72" s="309"/>
      <c r="Z72" s="310">
        <f>(R72+S72+T72)*'1.0-Contractblad'!$L$37</f>
        <v>91.943969842908643</v>
      </c>
      <c r="AA72" s="310">
        <f ca="1">VLOOKUP(E72,'1.2-Jaarprijzen'!$B$51:$Q$88,16,FALSE)*K72</f>
        <v>0</v>
      </c>
      <c r="AC72" s="226">
        <f t="shared" si="16"/>
        <v>984</v>
      </c>
      <c r="AD72" s="226" t="str">
        <f t="shared" si="17"/>
        <v>1080-80</v>
      </c>
    </row>
    <row r="73" spans="1:30" ht="12.5">
      <c r="A73" s="276"/>
      <c r="B73" s="336"/>
      <c r="C73" s="337"/>
      <c r="D73" s="302">
        <f>VLOOKUP(E73,'1.2-Jaarprijzen'!B:G,6,FALSE)</f>
        <v>1</v>
      </c>
      <c r="E73" s="522" t="s">
        <v>79</v>
      </c>
      <c r="F73" s="302" t="s">
        <v>272</v>
      </c>
      <c r="G73" s="525" t="s">
        <v>308</v>
      </c>
      <c r="H73" s="524" t="s">
        <v>220</v>
      </c>
      <c r="I73" s="303" t="str">
        <f t="shared" si="11"/>
        <v>sanitaire ruimte (toilet-/doucheruimte)</v>
      </c>
      <c r="J73" s="302" t="s">
        <v>221</v>
      </c>
      <c r="K73" s="304">
        <v>6.2</v>
      </c>
      <c r="L73" s="304"/>
      <c r="M73" s="305">
        <v>4200</v>
      </c>
      <c r="N73" s="302"/>
      <c r="O73" s="306">
        <f t="shared" si="18"/>
        <v>200</v>
      </c>
      <c r="P73" s="472">
        <v>1</v>
      </c>
      <c r="Q73" s="472">
        <v>1</v>
      </c>
      <c r="R73" s="300">
        <f t="shared" si="19"/>
        <v>16.616742866151665</v>
      </c>
      <c r="S73" s="300">
        <f t="shared" si="20"/>
        <v>2.9323663881444113</v>
      </c>
      <c r="T73" s="300">
        <f t="shared" si="21"/>
        <v>0</v>
      </c>
      <c r="U73" s="307">
        <f t="shared" si="13"/>
        <v>2.6801198171212359</v>
      </c>
      <c r="V73" s="307">
        <f t="shared" si="14"/>
        <v>0.4729623206684534</v>
      </c>
      <c r="W73" s="307">
        <f t="shared" si="15"/>
        <v>0</v>
      </c>
      <c r="X73" s="308" t="str">
        <f t="shared" si="22"/>
        <v>S</v>
      </c>
      <c r="Y73" s="309"/>
      <c r="Z73" s="310">
        <f>(R73+S73+T73)*'1.0-Contractblad'!$L$37</f>
        <v>593.66095661904012</v>
      </c>
      <c r="AA73" s="310">
        <f ca="1">VLOOKUP(E73,'1.2-Jaarprijzen'!$B$51:$Q$88,16,FALSE)*K73</f>
        <v>0</v>
      </c>
      <c r="AC73" s="226">
        <f t="shared" si="16"/>
        <v>1240</v>
      </c>
      <c r="AD73" s="226" t="str">
        <f t="shared" si="17"/>
        <v>4200-200</v>
      </c>
    </row>
    <row r="74" spans="1:30" ht="12.5">
      <c r="A74" s="276"/>
      <c r="B74" s="336"/>
      <c r="C74" s="337"/>
      <c r="D74" s="302">
        <f>VLOOKUP(E74,'1.2-Jaarprijzen'!B:G,6,FALSE)</f>
        <v>1</v>
      </c>
      <c r="E74" s="522" t="s">
        <v>79</v>
      </c>
      <c r="F74" s="302" t="s">
        <v>272</v>
      </c>
      <c r="G74" s="525" t="s">
        <v>309</v>
      </c>
      <c r="H74" s="523" t="s">
        <v>277</v>
      </c>
      <c r="I74" s="303" t="str">
        <f t="shared" ref="I74:I179" si="28">IF($M74="",0,VLOOKUP($M74,Kengetal,4,FALSE))</f>
        <v>entree, gang, hal, repro, kopieer, was/droogruimte</v>
      </c>
      <c r="J74" s="302" t="s">
        <v>208</v>
      </c>
      <c r="K74" s="304">
        <v>6.2</v>
      </c>
      <c r="L74" s="304"/>
      <c r="M74" s="305">
        <v>3200</v>
      </c>
      <c r="N74" s="302"/>
      <c r="O74" s="306">
        <f t="shared" si="18"/>
        <v>200</v>
      </c>
      <c r="P74" s="472">
        <v>1</v>
      </c>
      <c r="Q74" s="472">
        <v>1</v>
      </c>
      <c r="R74" s="300">
        <f t="shared" si="19"/>
        <v>2.3336045648915893</v>
      </c>
      <c r="S74" s="300">
        <f t="shared" si="20"/>
        <v>0.70388615951893063</v>
      </c>
      <c r="T74" s="300">
        <f t="shared" si="21"/>
        <v>0</v>
      </c>
      <c r="U74" s="307">
        <f t="shared" si="13"/>
        <v>0.37638783304703055</v>
      </c>
      <c r="V74" s="307">
        <f t="shared" si="14"/>
        <v>0.11353002572885977</v>
      </c>
      <c r="W74" s="307">
        <f t="shared" si="15"/>
        <v>0</v>
      </c>
      <c r="X74" s="308" t="str">
        <f t="shared" si="22"/>
        <v>V</v>
      </c>
      <c r="Y74" s="309" t="s">
        <v>214</v>
      </c>
      <c r="Z74" s="310">
        <f>(R74+S74+T74)*'1.0-Contractblad'!$L$37</f>
        <v>92.241524957395882</v>
      </c>
      <c r="AA74" s="310">
        <f ca="1">VLOOKUP(E74,'1.2-Jaarprijzen'!$B$51:$Q$88,16,FALSE)*K74</f>
        <v>0</v>
      </c>
      <c r="AC74" s="226">
        <f t="shared" si="16"/>
        <v>1240</v>
      </c>
      <c r="AD74" s="226" t="str">
        <f t="shared" si="17"/>
        <v>3200-200</v>
      </c>
    </row>
    <row r="75" spans="1:30" ht="12.5">
      <c r="A75" s="276"/>
      <c r="B75" s="336"/>
      <c r="C75" s="337"/>
      <c r="D75" s="302">
        <f>VLOOKUP(E75,'1.2-Jaarprijzen'!B:G,6,FALSE)</f>
        <v>1</v>
      </c>
      <c r="E75" s="522" t="s">
        <v>79</v>
      </c>
      <c r="F75" s="302" t="s">
        <v>272</v>
      </c>
      <c r="G75" s="525" t="s">
        <v>310</v>
      </c>
      <c r="H75" s="523" t="s">
        <v>311</v>
      </c>
      <c r="I75" s="303" t="str">
        <f t="shared" si="28"/>
        <v>entree, gang, hal, repro, kopieer, was/droogruimte</v>
      </c>
      <c r="J75" s="302" t="s">
        <v>208</v>
      </c>
      <c r="K75" s="304">
        <v>78</v>
      </c>
      <c r="L75" s="304"/>
      <c r="M75" s="305">
        <v>3200</v>
      </c>
      <c r="N75" s="302"/>
      <c r="O75" s="306">
        <f t="shared" si="18"/>
        <v>200</v>
      </c>
      <c r="P75" s="472">
        <v>1</v>
      </c>
      <c r="Q75" s="472">
        <v>1</v>
      </c>
      <c r="R75" s="300">
        <f t="shared" si="19"/>
        <v>29.358250977668384</v>
      </c>
      <c r="S75" s="300">
        <f t="shared" si="20"/>
        <v>8.8553420068510622</v>
      </c>
      <c r="T75" s="300">
        <f t="shared" si="21"/>
        <v>0</v>
      </c>
      <c r="U75" s="307">
        <f t="shared" si="13"/>
        <v>0.37638783304703055</v>
      </c>
      <c r="V75" s="307">
        <f t="shared" si="14"/>
        <v>0.11353002572885977</v>
      </c>
      <c r="W75" s="307">
        <f t="shared" si="15"/>
        <v>0</v>
      </c>
      <c r="X75" s="308" t="str">
        <f t="shared" si="22"/>
        <v>V</v>
      </c>
      <c r="Y75" s="309" t="s">
        <v>214</v>
      </c>
      <c r="Z75" s="310">
        <f>(R75+S75+T75)*'1.0-Contractblad'!$L$37</f>
        <v>1160.457894625303</v>
      </c>
      <c r="AA75" s="310">
        <f ca="1">VLOOKUP(E75,'1.2-Jaarprijzen'!$B$51:$Q$88,16,FALSE)*K75</f>
        <v>0</v>
      </c>
      <c r="AC75" s="226">
        <f t="shared" si="16"/>
        <v>15600</v>
      </c>
      <c r="AD75" s="226" t="str">
        <f t="shared" si="17"/>
        <v>3200-200</v>
      </c>
    </row>
    <row r="76" spans="1:30" ht="12.5">
      <c r="A76" s="276"/>
      <c r="B76" s="336"/>
      <c r="C76" s="337"/>
      <c r="D76" s="302">
        <f>VLOOKUP(E76,'1.2-Jaarprijzen'!B:G,6,FALSE)</f>
        <v>1</v>
      </c>
      <c r="E76" s="522" t="s">
        <v>79</v>
      </c>
      <c r="F76" s="302" t="s">
        <v>272</v>
      </c>
      <c r="G76" s="525" t="s">
        <v>312</v>
      </c>
      <c r="H76" s="523" t="s">
        <v>313</v>
      </c>
      <c r="I76" s="303" t="str">
        <f t="shared" ref="I76:I118" si="29">IF($M76="",0,VLOOKUP($M76,Kengetal,4,FALSE))</f>
        <v>niet van toepassing</v>
      </c>
      <c r="J76" s="302" t="s">
        <v>218</v>
      </c>
      <c r="K76" s="304"/>
      <c r="L76" s="304">
        <v>3.84</v>
      </c>
      <c r="M76" s="305" t="s">
        <v>147</v>
      </c>
      <c r="N76" s="302"/>
      <c r="O76" s="306">
        <f t="shared" si="18"/>
        <v>0</v>
      </c>
      <c r="P76" s="472">
        <v>1</v>
      </c>
      <c r="Q76" s="472">
        <v>1</v>
      </c>
      <c r="R76" s="300">
        <f t="shared" si="19"/>
        <v>0</v>
      </c>
      <c r="S76" s="300">
        <f t="shared" si="20"/>
        <v>0</v>
      </c>
      <c r="T76" s="300">
        <f t="shared" si="21"/>
        <v>0</v>
      </c>
      <c r="U76" s="307">
        <f t="shared" si="13"/>
        <v>0</v>
      </c>
      <c r="V76" s="307">
        <f t="shared" si="14"/>
        <v>0</v>
      </c>
      <c r="W76" s="307">
        <f t="shared" si="15"/>
        <v>0</v>
      </c>
      <c r="X76" s="308">
        <f t="shared" si="22"/>
        <v>0</v>
      </c>
      <c r="Y76" s="309"/>
      <c r="Z76" s="310">
        <f>(R76+S76+T76)*'1.0-Contractblad'!$L$37</f>
        <v>0</v>
      </c>
      <c r="AA76" s="310">
        <f ca="1">VLOOKUP(E76,'1.2-Jaarprijzen'!$B$51:$Q$88,16,FALSE)*K76</f>
        <v>0</v>
      </c>
      <c r="AC76" s="226">
        <f t="shared" si="16"/>
        <v>0</v>
      </c>
      <c r="AD76" s="226" t="str">
        <f t="shared" si="17"/>
        <v>nvt-0</v>
      </c>
    </row>
    <row r="77" spans="1:30" ht="12.5">
      <c r="B77" s="336"/>
      <c r="C77" s="337"/>
      <c r="D77" s="302">
        <f>VLOOKUP(E77,'1.2-Jaarprijzen'!B:G,6,FALSE)</f>
        <v>1</v>
      </c>
      <c r="E77" s="522" t="s">
        <v>79</v>
      </c>
      <c r="F77" s="302" t="s">
        <v>272</v>
      </c>
      <c r="G77" s="525" t="s">
        <v>314</v>
      </c>
      <c r="H77" s="524" t="s">
        <v>315</v>
      </c>
      <c r="I77" s="303" t="str">
        <f t="shared" si="29"/>
        <v>administratieve -, personeels- en vergaderruimte</v>
      </c>
      <c r="J77" s="302" t="s">
        <v>218</v>
      </c>
      <c r="K77" s="304">
        <v>15.8</v>
      </c>
      <c r="L77" s="304"/>
      <c r="M77" s="305">
        <v>1080</v>
      </c>
      <c r="N77" s="302"/>
      <c r="O77" s="306">
        <f t="shared" si="18"/>
        <v>80</v>
      </c>
      <c r="P77" s="472">
        <v>1</v>
      </c>
      <c r="Q77" s="472">
        <v>1</v>
      </c>
      <c r="R77" s="300">
        <f t="shared" si="19"/>
        <v>3.3058461538461543</v>
      </c>
      <c r="S77" s="300">
        <f t="shared" si="20"/>
        <v>0.5833846153846155</v>
      </c>
      <c r="T77" s="300">
        <f t="shared" si="21"/>
        <v>0</v>
      </c>
      <c r="U77" s="307">
        <f t="shared" si="13"/>
        <v>0.20923076923076925</v>
      </c>
      <c r="V77" s="307">
        <f t="shared" si="14"/>
        <v>3.6923076923076927E-2</v>
      </c>
      <c r="W77" s="307">
        <f t="shared" si="15"/>
        <v>0</v>
      </c>
      <c r="X77" s="308" t="str">
        <f t="shared" si="22"/>
        <v>V</v>
      </c>
      <c r="Y77" s="309"/>
      <c r="Z77" s="310">
        <f>(R77+S77+T77)*'1.0-Contractblad'!$L$37</f>
        <v>118.10688809089078</v>
      </c>
      <c r="AA77" s="310">
        <f ca="1">VLOOKUP(E77,'1.2-Jaarprijzen'!$B$51:$Q$88,16,FALSE)*K77</f>
        <v>0</v>
      </c>
      <c r="AC77" s="226">
        <f t="shared" si="16"/>
        <v>1264</v>
      </c>
      <c r="AD77" s="226" t="str">
        <f t="shared" si="17"/>
        <v>1080-80</v>
      </c>
    </row>
    <row r="78" spans="1:30" ht="12.5">
      <c r="B78" s="336"/>
      <c r="C78" s="337"/>
      <c r="D78" s="302">
        <f>VLOOKUP(E78,'1.2-Jaarprijzen'!B:G,6,FALSE)</f>
        <v>1</v>
      </c>
      <c r="E78" s="522" t="s">
        <v>79</v>
      </c>
      <c r="F78" s="302" t="s">
        <v>272</v>
      </c>
      <c r="G78" s="525" t="s">
        <v>316</v>
      </c>
      <c r="H78" s="523" t="s">
        <v>207</v>
      </c>
      <c r="I78" s="303" t="str">
        <f t="shared" si="29"/>
        <v>niet van toepassing</v>
      </c>
      <c r="J78" s="302" t="s">
        <v>208</v>
      </c>
      <c r="K78" s="304"/>
      <c r="L78" s="304">
        <v>2</v>
      </c>
      <c r="M78" s="305" t="s">
        <v>147</v>
      </c>
      <c r="N78" s="302"/>
      <c r="O78" s="306">
        <f t="shared" si="18"/>
        <v>0</v>
      </c>
      <c r="P78" s="472">
        <v>1</v>
      </c>
      <c r="Q78" s="472">
        <v>1</v>
      </c>
      <c r="R78" s="300">
        <f t="shared" si="19"/>
        <v>0</v>
      </c>
      <c r="S78" s="300">
        <f t="shared" si="20"/>
        <v>0</v>
      </c>
      <c r="T78" s="300">
        <f t="shared" si="21"/>
        <v>0</v>
      </c>
      <c r="U78" s="307">
        <f t="shared" si="13"/>
        <v>0</v>
      </c>
      <c r="V78" s="307">
        <f t="shared" si="14"/>
        <v>0</v>
      </c>
      <c r="W78" s="307">
        <f t="shared" si="15"/>
        <v>0</v>
      </c>
      <c r="X78" s="308">
        <f t="shared" si="22"/>
        <v>0</v>
      </c>
      <c r="Y78" s="309"/>
      <c r="Z78" s="310">
        <f>(R78+S78+T78)*'1.0-Contractblad'!$L$37</f>
        <v>0</v>
      </c>
      <c r="AA78" s="310">
        <f ca="1">VLOOKUP(E78,'1.2-Jaarprijzen'!$B$51:$Q$88,16,FALSE)*K78</f>
        <v>0</v>
      </c>
      <c r="AC78" s="226">
        <f t="shared" si="16"/>
        <v>0</v>
      </c>
      <c r="AD78" s="226" t="str">
        <f t="shared" si="17"/>
        <v>nvt-0</v>
      </c>
    </row>
    <row r="79" spans="1:30" ht="12.5">
      <c r="B79" s="336"/>
      <c r="C79" s="337"/>
      <c r="D79" s="302">
        <f>VLOOKUP(E79,'1.2-Jaarprijzen'!B:G,6,FALSE)</f>
        <v>1</v>
      </c>
      <c r="E79" s="522" t="s">
        <v>82</v>
      </c>
      <c r="F79" s="302" t="s">
        <v>201</v>
      </c>
      <c r="G79" s="525" t="s">
        <v>202</v>
      </c>
      <c r="H79" s="523" t="s">
        <v>317</v>
      </c>
      <c r="I79" s="303" t="str">
        <f t="shared" si="29"/>
        <v>entree, gang, hal, repro, kopieer, was/droogruimte</v>
      </c>
      <c r="J79" s="302" t="s">
        <v>253</v>
      </c>
      <c r="K79" s="304">
        <v>18.7</v>
      </c>
      <c r="L79" s="304"/>
      <c r="M79" s="305">
        <v>3200</v>
      </c>
      <c r="N79" s="302"/>
      <c r="O79" s="306">
        <f t="shared" si="18"/>
        <v>200</v>
      </c>
      <c r="P79" s="472">
        <v>1</v>
      </c>
      <c r="Q79" s="472">
        <v>1</v>
      </c>
      <c r="R79" s="300">
        <f t="shared" si="19"/>
        <v>7.0384524779794706</v>
      </c>
      <c r="S79" s="300">
        <f t="shared" si="20"/>
        <v>2.1230114811296774</v>
      </c>
      <c r="T79" s="300">
        <f t="shared" si="21"/>
        <v>0</v>
      </c>
      <c r="U79" s="307">
        <f t="shared" si="13"/>
        <v>0.37638783304703055</v>
      </c>
      <c r="V79" s="307">
        <f t="shared" si="14"/>
        <v>0.11353002572885977</v>
      </c>
      <c r="W79" s="307">
        <f t="shared" si="15"/>
        <v>0</v>
      </c>
      <c r="X79" s="308" t="str">
        <f t="shared" si="22"/>
        <v>V</v>
      </c>
      <c r="Y79" s="309"/>
      <c r="Z79" s="310">
        <f>(R79+S79+T79)*'1.0-Contractblad'!$L$37</f>
        <v>278.21234140375856</v>
      </c>
      <c r="AA79" s="310">
        <f ca="1">VLOOKUP(E79,'1.2-Jaarprijzen'!$B$51:$Q$88,16,FALSE)*K79</f>
        <v>0</v>
      </c>
      <c r="AC79" s="226">
        <f t="shared" si="16"/>
        <v>3740</v>
      </c>
      <c r="AD79" s="226" t="str">
        <f t="shared" si="17"/>
        <v>3200-200</v>
      </c>
    </row>
    <row r="80" spans="1:30" ht="12.5">
      <c r="B80" s="336"/>
      <c r="C80" s="337"/>
      <c r="D80" s="302">
        <f>VLOOKUP(E80,'1.2-Jaarprijzen'!B:G,6,FALSE)</f>
        <v>1</v>
      </c>
      <c r="E80" s="522" t="s">
        <v>82</v>
      </c>
      <c r="F80" s="302" t="s">
        <v>201</v>
      </c>
      <c r="G80" s="525" t="s">
        <v>318</v>
      </c>
      <c r="H80" s="523" t="s">
        <v>319</v>
      </c>
      <c r="I80" s="303" t="str">
        <f t="shared" si="29"/>
        <v>trappenhuis</v>
      </c>
      <c r="J80" s="302" t="s">
        <v>208</v>
      </c>
      <c r="K80" s="304">
        <v>12.6</v>
      </c>
      <c r="L80" s="304"/>
      <c r="M80" s="305">
        <v>9200</v>
      </c>
      <c r="N80" s="302"/>
      <c r="O80" s="306">
        <f t="shared" si="18"/>
        <v>200</v>
      </c>
      <c r="P80" s="472">
        <v>1</v>
      </c>
      <c r="Q80" s="472">
        <v>1</v>
      </c>
      <c r="R80" s="300">
        <f t="shared" si="19"/>
        <v>8.8921625557360962</v>
      </c>
      <c r="S80" s="300">
        <f t="shared" si="20"/>
        <v>0.55414926071978576</v>
      </c>
      <c r="T80" s="300">
        <f t="shared" si="21"/>
        <v>0</v>
      </c>
      <c r="U80" s="307">
        <f t="shared" si="13"/>
        <v>0.70572718696318226</v>
      </c>
      <c r="V80" s="307">
        <f t="shared" si="14"/>
        <v>4.3980100057125854E-2</v>
      </c>
      <c r="W80" s="307">
        <f t="shared" si="15"/>
        <v>0</v>
      </c>
      <c r="X80" s="308" t="str">
        <f t="shared" si="22"/>
        <v>V</v>
      </c>
      <c r="Y80" s="309"/>
      <c r="Z80" s="310">
        <f>(R80+S80+T80)*'1.0-Contractblad'!$L$37</f>
        <v>286.86250798084615</v>
      </c>
      <c r="AA80" s="310">
        <f ca="1">VLOOKUP(E80,'1.2-Jaarprijzen'!$B$51:$Q$88,16,FALSE)*K80</f>
        <v>0</v>
      </c>
      <c r="AC80" s="226">
        <f t="shared" si="16"/>
        <v>2520</v>
      </c>
      <c r="AD80" s="226" t="str">
        <f t="shared" si="17"/>
        <v>9200-200</v>
      </c>
    </row>
    <row r="81" spans="2:30" ht="12.5">
      <c r="B81" s="336"/>
      <c r="C81" s="337"/>
      <c r="D81" s="302">
        <f>VLOOKUP(E81,'1.2-Jaarprijzen'!B:G,6,FALSE)</f>
        <v>1</v>
      </c>
      <c r="E81" s="522" t="s">
        <v>82</v>
      </c>
      <c r="F81" s="302" t="s">
        <v>201</v>
      </c>
      <c r="G81" s="525" t="s">
        <v>216</v>
      </c>
      <c r="H81" s="523" t="s">
        <v>136</v>
      </c>
      <c r="I81" s="303" t="str">
        <f t="shared" si="29"/>
        <v>lift</v>
      </c>
      <c r="J81" s="302" t="s">
        <v>229</v>
      </c>
      <c r="K81" s="304">
        <v>2.8899999999999997</v>
      </c>
      <c r="L81" s="304"/>
      <c r="M81" s="305">
        <v>10040</v>
      </c>
      <c r="N81" s="302"/>
      <c r="O81" s="306">
        <f t="shared" si="18"/>
        <v>40</v>
      </c>
      <c r="P81" s="472">
        <v>1</v>
      </c>
      <c r="Q81" s="472">
        <v>1</v>
      </c>
      <c r="R81" s="300">
        <f t="shared" si="19"/>
        <v>0.6798505234411989</v>
      </c>
      <c r="S81" s="300">
        <f t="shared" si="20"/>
        <v>1.3301423284719109</v>
      </c>
      <c r="T81" s="300">
        <f t="shared" si="21"/>
        <v>0</v>
      </c>
      <c r="U81" s="307">
        <f t="shared" si="13"/>
        <v>0.23524239565439412</v>
      </c>
      <c r="V81" s="307">
        <f t="shared" si="14"/>
        <v>0.460256861062945</v>
      </c>
      <c r="W81" s="307">
        <f t="shared" si="15"/>
        <v>0</v>
      </c>
      <c r="X81" s="308" t="str">
        <f t="shared" si="22"/>
        <v>V</v>
      </c>
      <c r="Y81" s="309"/>
      <c r="Z81" s="310">
        <f>(R81+S81+T81)*'1.0-Contractblad'!$L$37</f>
        <v>61.038805591714727</v>
      </c>
      <c r="AA81" s="310">
        <f ca="1">VLOOKUP(E81,'1.2-Jaarprijzen'!$B$51:$Q$88,16,FALSE)*K81</f>
        <v>0</v>
      </c>
      <c r="AC81" s="226">
        <f t="shared" si="16"/>
        <v>115.6</v>
      </c>
      <c r="AD81" s="226" t="str">
        <f t="shared" si="17"/>
        <v>10040-40</v>
      </c>
    </row>
    <row r="82" spans="2:30" ht="12.5">
      <c r="B82" s="336"/>
      <c r="C82" s="337"/>
      <c r="D82" s="302">
        <f>VLOOKUP(E82,'1.2-Jaarprijzen'!B:G,6,FALSE)</f>
        <v>1</v>
      </c>
      <c r="E82" s="522" t="s">
        <v>82</v>
      </c>
      <c r="F82" s="302" t="s">
        <v>201</v>
      </c>
      <c r="G82" s="525" t="s">
        <v>222</v>
      </c>
      <c r="H82" s="523" t="s">
        <v>320</v>
      </c>
      <c r="I82" s="303" t="str">
        <f t="shared" si="29"/>
        <v>administratieve -, personeels- en vergaderruimte</v>
      </c>
      <c r="J82" s="302" t="s">
        <v>229</v>
      </c>
      <c r="K82" s="304">
        <v>14.32</v>
      </c>
      <c r="L82" s="304"/>
      <c r="M82" s="305">
        <v>1080</v>
      </c>
      <c r="N82" s="302"/>
      <c r="O82" s="306">
        <f t="shared" si="18"/>
        <v>80</v>
      </c>
      <c r="P82" s="472">
        <v>1</v>
      </c>
      <c r="Q82" s="472">
        <v>1</v>
      </c>
      <c r="R82" s="300">
        <f t="shared" si="19"/>
        <v>2.9961846153846157</v>
      </c>
      <c r="S82" s="300">
        <f t="shared" si="20"/>
        <v>0.5287384615384616</v>
      </c>
      <c r="T82" s="300">
        <f t="shared" si="21"/>
        <v>0</v>
      </c>
      <c r="U82" s="307">
        <f t="shared" si="13"/>
        <v>0.20923076923076925</v>
      </c>
      <c r="V82" s="307">
        <f t="shared" si="14"/>
        <v>3.6923076923076927E-2</v>
      </c>
      <c r="W82" s="307">
        <f t="shared" si="15"/>
        <v>0</v>
      </c>
      <c r="X82" s="308" t="str">
        <f t="shared" si="22"/>
        <v>V</v>
      </c>
      <c r="Y82" s="309" t="s">
        <v>321</v>
      </c>
      <c r="Z82" s="310">
        <f>(R82+S82+T82)*'1.0-Contractblad'!$L$37</f>
        <v>107.04371123174404</v>
      </c>
      <c r="AA82" s="310">
        <f ca="1">VLOOKUP(E82,'1.2-Jaarprijzen'!$B$51:$Q$88,16,FALSE)*K82</f>
        <v>0</v>
      </c>
      <c r="AC82" s="226">
        <f t="shared" si="16"/>
        <v>1145.5999999999999</v>
      </c>
      <c r="AD82" s="226" t="str">
        <f t="shared" si="17"/>
        <v>1080-80</v>
      </c>
    </row>
    <row r="83" spans="2:30" ht="12.5">
      <c r="B83" s="336"/>
      <c r="C83" s="337"/>
      <c r="D83" s="302">
        <f>VLOOKUP(E83,'1.2-Jaarprijzen'!B:G,6,FALSE)</f>
        <v>1</v>
      </c>
      <c r="E83" s="522" t="s">
        <v>82</v>
      </c>
      <c r="F83" s="302" t="s">
        <v>201</v>
      </c>
      <c r="G83" s="525" t="s">
        <v>224</v>
      </c>
      <c r="H83" s="523" t="s">
        <v>280</v>
      </c>
      <c r="I83" s="303" t="str">
        <f t="shared" si="29"/>
        <v>entree, gang, hal, repro, kopieer, was/droogruimte</v>
      </c>
      <c r="J83" s="302" t="s">
        <v>229</v>
      </c>
      <c r="K83" s="304">
        <v>21.44</v>
      </c>
      <c r="L83" s="304"/>
      <c r="M83" s="305">
        <v>3200</v>
      </c>
      <c r="N83" s="302"/>
      <c r="O83" s="306">
        <f t="shared" si="18"/>
        <v>200</v>
      </c>
      <c r="P83" s="472">
        <v>1</v>
      </c>
      <c r="Q83" s="472">
        <v>1</v>
      </c>
      <c r="R83" s="300">
        <f t="shared" si="19"/>
        <v>8.0697551405283363</v>
      </c>
      <c r="S83" s="300">
        <f t="shared" si="20"/>
        <v>2.4340837516267535</v>
      </c>
      <c r="T83" s="300">
        <f t="shared" si="21"/>
        <v>0</v>
      </c>
      <c r="U83" s="307">
        <f t="shared" si="13"/>
        <v>0.37638783304703055</v>
      </c>
      <c r="V83" s="307">
        <f t="shared" si="14"/>
        <v>0.11353002572885977</v>
      </c>
      <c r="W83" s="307">
        <f t="shared" si="15"/>
        <v>0</v>
      </c>
      <c r="X83" s="308" t="str">
        <f t="shared" si="22"/>
        <v>V</v>
      </c>
      <c r="Y83" s="309"/>
      <c r="Z83" s="310">
        <f>(R83+S83+T83)*'1.0-Contractblad'!$L$37</f>
        <v>318.97714436880131</v>
      </c>
      <c r="AA83" s="310">
        <f ca="1">VLOOKUP(E83,'1.2-Jaarprijzen'!$B$51:$Q$88,16,FALSE)*K83</f>
        <v>0</v>
      </c>
      <c r="AC83" s="226">
        <f t="shared" si="16"/>
        <v>4288</v>
      </c>
      <c r="AD83" s="226" t="str">
        <f t="shared" si="17"/>
        <v>3200-200</v>
      </c>
    </row>
    <row r="84" spans="2:30" ht="12.5">
      <c r="B84" s="336"/>
      <c r="C84" s="337"/>
      <c r="D84" s="302">
        <f>VLOOKUP(E84,'1.2-Jaarprijzen'!B:G,6,FALSE)</f>
        <v>1</v>
      </c>
      <c r="E84" s="522" t="s">
        <v>82</v>
      </c>
      <c r="F84" s="302" t="s">
        <v>201</v>
      </c>
      <c r="G84" s="525" t="s">
        <v>224</v>
      </c>
      <c r="H84" s="523" t="s">
        <v>322</v>
      </c>
      <c r="I84" s="303" t="str">
        <f t="shared" si="29"/>
        <v>administratieve -, personeels- en vergaderruimte</v>
      </c>
      <c r="J84" s="302" t="s">
        <v>229</v>
      </c>
      <c r="K84" s="304">
        <v>6.44</v>
      </c>
      <c r="L84" s="304"/>
      <c r="M84" s="305">
        <v>1080</v>
      </c>
      <c r="N84" s="302"/>
      <c r="O84" s="306">
        <f t="shared" si="18"/>
        <v>80</v>
      </c>
      <c r="P84" s="472">
        <v>1</v>
      </c>
      <c r="Q84" s="472">
        <v>1</v>
      </c>
      <c r="R84" s="300">
        <f t="shared" si="19"/>
        <v>1.347446153846154</v>
      </c>
      <c r="S84" s="300">
        <f t="shared" si="20"/>
        <v>0.23778461538461543</v>
      </c>
      <c r="T84" s="300">
        <f t="shared" si="21"/>
        <v>0</v>
      </c>
      <c r="U84" s="307">
        <f t="shared" si="13"/>
        <v>0.20923076923076925</v>
      </c>
      <c r="V84" s="307">
        <f t="shared" si="14"/>
        <v>3.6923076923076927E-2</v>
      </c>
      <c r="W84" s="307">
        <f t="shared" si="15"/>
        <v>0</v>
      </c>
      <c r="X84" s="308" t="str">
        <f t="shared" si="22"/>
        <v>V</v>
      </c>
      <c r="Y84" s="309"/>
      <c r="Z84" s="310">
        <f>(R84+S84+T84)*'1.0-Contractblad'!$L$37</f>
        <v>48.139769576287129</v>
      </c>
      <c r="AA84" s="310">
        <f ca="1">VLOOKUP(E84,'1.2-Jaarprijzen'!$B$51:$Q$88,16,FALSE)*K84</f>
        <v>0</v>
      </c>
      <c r="AC84" s="226">
        <f t="shared" si="16"/>
        <v>515.20000000000005</v>
      </c>
      <c r="AD84" s="226" t="str">
        <f t="shared" si="17"/>
        <v>1080-80</v>
      </c>
    </row>
    <row r="85" spans="2:30" ht="12.5">
      <c r="B85" s="336"/>
      <c r="C85" s="337"/>
      <c r="D85" s="302">
        <f>VLOOKUP(E85,'1.2-Jaarprijzen'!B:G,6,FALSE)</f>
        <v>1</v>
      </c>
      <c r="E85" s="522" t="s">
        <v>82</v>
      </c>
      <c r="F85" s="302" t="s">
        <v>201</v>
      </c>
      <c r="G85" s="525" t="s">
        <v>226</v>
      </c>
      <c r="H85" s="523" t="s">
        <v>323</v>
      </c>
      <c r="I85" s="303" t="str">
        <f t="shared" si="29"/>
        <v>entree, gang, hal, repro, kopieer, was/droogruimte</v>
      </c>
      <c r="J85" s="302" t="s">
        <v>229</v>
      </c>
      <c r="K85" s="304">
        <v>6.44</v>
      </c>
      <c r="L85" s="304"/>
      <c r="M85" s="305">
        <v>3200</v>
      </c>
      <c r="N85" s="302"/>
      <c r="O85" s="306">
        <f t="shared" si="18"/>
        <v>200</v>
      </c>
      <c r="P85" s="472">
        <v>1</v>
      </c>
      <c r="Q85" s="472">
        <v>1</v>
      </c>
      <c r="R85" s="300">
        <f t="shared" si="19"/>
        <v>2.4239376448228769</v>
      </c>
      <c r="S85" s="300">
        <f t="shared" si="20"/>
        <v>0.73113336569385701</v>
      </c>
      <c r="T85" s="300">
        <f t="shared" si="21"/>
        <v>0</v>
      </c>
      <c r="U85" s="307">
        <f t="shared" si="13"/>
        <v>0.37638783304703055</v>
      </c>
      <c r="V85" s="307">
        <f t="shared" si="14"/>
        <v>0.11353002572885977</v>
      </c>
      <c r="W85" s="307">
        <f t="shared" si="15"/>
        <v>0</v>
      </c>
      <c r="X85" s="308" t="str">
        <f t="shared" si="22"/>
        <v>V</v>
      </c>
      <c r="Y85" s="309"/>
      <c r="Z85" s="310">
        <f>(R85+S85+T85)*'1.0-Contractblad'!$L$37</f>
        <v>95.812164633166049</v>
      </c>
      <c r="AA85" s="310">
        <f ca="1">VLOOKUP(E85,'1.2-Jaarprijzen'!$B$51:$Q$88,16,FALSE)*K85</f>
        <v>0</v>
      </c>
      <c r="AC85" s="226">
        <f t="shared" si="16"/>
        <v>1288</v>
      </c>
      <c r="AD85" s="226" t="str">
        <f t="shared" si="17"/>
        <v>3200-200</v>
      </c>
    </row>
    <row r="86" spans="2:30" ht="12.5">
      <c r="B86" s="336"/>
      <c r="C86" s="337"/>
      <c r="D86" s="302">
        <f>VLOOKUP(E86,'1.2-Jaarprijzen'!B:G,6,FALSE)</f>
        <v>1</v>
      </c>
      <c r="E86" s="522" t="s">
        <v>82</v>
      </c>
      <c r="F86" s="302" t="s">
        <v>201</v>
      </c>
      <c r="G86" s="525" t="s">
        <v>227</v>
      </c>
      <c r="H86" s="523" t="s">
        <v>323</v>
      </c>
      <c r="I86" s="303" t="str">
        <f t="shared" si="29"/>
        <v>entree, gang, hal, repro, kopieer, was/droogruimte</v>
      </c>
      <c r="J86" s="302" t="s">
        <v>229</v>
      </c>
      <c r="K86" s="304">
        <v>10.31</v>
      </c>
      <c r="L86" s="304"/>
      <c r="M86" s="305">
        <v>3200</v>
      </c>
      <c r="N86" s="302"/>
      <c r="O86" s="306">
        <f t="shared" si="18"/>
        <v>200</v>
      </c>
      <c r="P86" s="472">
        <v>1</v>
      </c>
      <c r="Q86" s="472">
        <v>1</v>
      </c>
      <c r="R86" s="300">
        <f t="shared" si="19"/>
        <v>3.8805585587148852</v>
      </c>
      <c r="S86" s="300">
        <f t="shared" si="20"/>
        <v>1.1704945652645442</v>
      </c>
      <c r="T86" s="300">
        <f t="shared" si="21"/>
        <v>0</v>
      </c>
      <c r="U86" s="307">
        <f t="shared" si="13"/>
        <v>0.37638783304703055</v>
      </c>
      <c r="V86" s="307">
        <f t="shared" si="14"/>
        <v>0.11353002572885977</v>
      </c>
      <c r="W86" s="307">
        <f t="shared" si="15"/>
        <v>0</v>
      </c>
      <c r="X86" s="308" t="str">
        <f t="shared" si="22"/>
        <v>V</v>
      </c>
      <c r="Y86" s="309"/>
      <c r="Z86" s="310">
        <f>(R86+S86+T86)*'1.0-Contractblad'!$L$37</f>
        <v>153.38872940495992</v>
      </c>
      <c r="AA86" s="310">
        <f ca="1">VLOOKUP(E86,'1.2-Jaarprijzen'!$B$51:$Q$88,16,FALSE)*K86</f>
        <v>0</v>
      </c>
      <c r="AC86" s="226">
        <f t="shared" si="16"/>
        <v>2062</v>
      </c>
      <c r="AD86" s="226" t="str">
        <f t="shared" si="17"/>
        <v>3200-200</v>
      </c>
    </row>
    <row r="87" spans="2:30" ht="12.5">
      <c r="B87" s="336"/>
      <c r="C87" s="337"/>
      <c r="D87" s="302">
        <f>VLOOKUP(E87,'1.2-Jaarprijzen'!B:G,6,FALSE)</f>
        <v>1</v>
      </c>
      <c r="E87" s="522" t="s">
        <v>82</v>
      </c>
      <c r="F87" s="302" t="s">
        <v>201</v>
      </c>
      <c r="G87" s="525" t="s">
        <v>230</v>
      </c>
      <c r="H87" s="523" t="s">
        <v>324</v>
      </c>
      <c r="I87" s="303" t="str">
        <f t="shared" si="29"/>
        <v>niet van toepassing</v>
      </c>
      <c r="J87" s="302" t="s">
        <v>229</v>
      </c>
      <c r="K87" s="304"/>
      <c r="L87" s="304"/>
      <c r="M87" s="305" t="s">
        <v>147</v>
      </c>
      <c r="N87" s="302"/>
      <c r="O87" s="306">
        <f t="shared" si="18"/>
        <v>0</v>
      </c>
      <c r="P87" s="472">
        <v>1</v>
      </c>
      <c r="Q87" s="472">
        <v>1</v>
      </c>
      <c r="R87" s="300">
        <f t="shared" si="19"/>
        <v>0</v>
      </c>
      <c r="S87" s="300">
        <f t="shared" si="20"/>
        <v>0</v>
      </c>
      <c r="T87" s="300">
        <f t="shared" si="21"/>
        <v>0</v>
      </c>
      <c r="U87" s="307">
        <f t="shared" si="13"/>
        <v>0</v>
      </c>
      <c r="V87" s="307">
        <f t="shared" si="14"/>
        <v>0</v>
      </c>
      <c r="W87" s="307">
        <f t="shared" si="15"/>
        <v>0</v>
      </c>
      <c r="X87" s="308">
        <f t="shared" si="22"/>
        <v>0</v>
      </c>
      <c r="Y87" s="309" t="s">
        <v>325</v>
      </c>
      <c r="Z87" s="310">
        <f>(R87+S87+T87)*'1.0-Contractblad'!$L$37</f>
        <v>0</v>
      </c>
      <c r="AA87" s="310">
        <f ca="1">VLOOKUP(E87,'1.2-Jaarprijzen'!$B$51:$Q$88,16,FALSE)*K87</f>
        <v>0</v>
      </c>
      <c r="AC87" s="226">
        <f t="shared" si="16"/>
        <v>0</v>
      </c>
      <c r="AD87" s="226" t="str">
        <f t="shared" si="17"/>
        <v>nvt-0</v>
      </c>
    </row>
    <row r="88" spans="2:30" ht="12.5">
      <c r="B88" s="336"/>
      <c r="C88" s="337"/>
      <c r="D88" s="302">
        <f>VLOOKUP(E88,'1.2-Jaarprijzen'!B:G,6,FALSE)</f>
        <v>1</v>
      </c>
      <c r="E88" s="522" t="s">
        <v>82</v>
      </c>
      <c r="F88" s="302" t="s">
        <v>201</v>
      </c>
      <c r="G88" s="525" t="s">
        <v>232</v>
      </c>
      <c r="H88" s="523" t="s">
        <v>326</v>
      </c>
      <c r="I88" s="303" t="str">
        <f t="shared" si="29"/>
        <v>aula, gemeenschappelijke ruimte, bibliotheek</v>
      </c>
      <c r="J88" s="302" t="s">
        <v>229</v>
      </c>
      <c r="K88" s="304">
        <v>79.759999999999991</v>
      </c>
      <c r="L88" s="304"/>
      <c r="M88" s="305">
        <v>2200</v>
      </c>
      <c r="N88" s="302"/>
      <c r="O88" s="306">
        <f t="shared" si="18"/>
        <v>200</v>
      </c>
      <c r="P88" s="472">
        <v>1</v>
      </c>
      <c r="Q88" s="472">
        <v>1</v>
      </c>
      <c r="R88" s="300">
        <f t="shared" si="19"/>
        <v>30.510161393676231</v>
      </c>
      <c r="S88" s="300">
        <f t="shared" si="20"/>
        <v>8.7288429655704718</v>
      </c>
      <c r="T88" s="300">
        <f t="shared" si="21"/>
        <v>0</v>
      </c>
      <c r="U88" s="307">
        <f t="shared" si="13"/>
        <v>0.38252459119453652</v>
      </c>
      <c r="V88" s="307">
        <f t="shared" si="14"/>
        <v>0.10943885363052247</v>
      </c>
      <c r="W88" s="307">
        <f t="shared" si="15"/>
        <v>0</v>
      </c>
      <c r="X88" s="308" t="str">
        <f t="shared" si="22"/>
        <v>V</v>
      </c>
      <c r="Y88" s="309"/>
      <c r="Z88" s="310">
        <f>(R88+S88+T88)*'1.0-Contractblad'!$L$37</f>
        <v>1191.5972519090553</v>
      </c>
      <c r="AA88" s="310">
        <f ca="1">VLOOKUP(E88,'1.2-Jaarprijzen'!$B$51:$Q$88,16,FALSE)*K88</f>
        <v>0</v>
      </c>
      <c r="AC88" s="226">
        <f t="shared" si="16"/>
        <v>15951.999999999998</v>
      </c>
      <c r="AD88" s="226" t="str">
        <f t="shared" si="17"/>
        <v>2200-200</v>
      </c>
    </row>
    <row r="89" spans="2:30" ht="12.5">
      <c r="B89" s="336"/>
      <c r="C89" s="337"/>
      <c r="D89" s="302">
        <f>VLOOKUP(E89,'1.2-Jaarprijzen'!B:G,6,FALSE)</f>
        <v>1</v>
      </c>
      <c r="E89" s="522" t="s">
        <v>82</v>
      </c>
      <c r="F89" s="302" t="s">
        <v>201</v>
      </c>
      <c r="G89" s="525" t="s">
        <v>233</v>
      </c>
      <c r="H89" s="522" t="s">
        <v>327</v>
      </c>
      <c r="I89" s="303" t="str">
        <f t="shared" si="29"/>
        <v>sanitaire ruimte (toilet-/doucheruimte)</v>
      </c>
      <c r="J89" s="302" t="s">
        <v>229</v>
      </c>
      <c r="K89" s="304">
        <v>3.7</v>
      </c>
      <c r="L89" s="304"/>
      <c r="M89" s="305">
        <v>4200</v>
      </c>
      <c r="N89" s="302"/>
      <c r="O89" s="306">
        <f t="shared" si="18"/>
        <v>200</v>
      </c>
      <c r="P89" s="472">
        <v>1</v>
      </c>
      <c r="Q89" s="472">
        <v>1</v>
      </c>
      <c r="R89" s="300">
        <f t="shared" si="19"/>
        <v>9.9164433233485738</v>
      </c>
      <c r="S89" s="300">
        <f t="shared" si="20"/>
        <v>1.7499605864732777</v>
      </c>
      <c r="T89" s="300">
        <f t="shared" si="21"/>
        <v>0</v>
      </c>
      <c r="U89" s="307">
        <f t="shared" si="13"/>
        <v>2.6801198171212359</v>
      </c>
      <c r="V89" s="307">
        <f t="shared" si="14"/>
        <v>0.4729623206684534</v>
      </c>
      <c r="W89" s="307">
        <f t="shared" si="15"/>
        <v>0</v>
      </c>
      <c r="X89" s="308" t="str">
        <f t="shared" si="22"/>
        <v>S</v>
      </c>
      <c r="Y89" s="309"/>
      <c r="Z89" s="310">
        <f>(R89+S89+T89)*'1.0-Contractblad'!$L$37</f>
        <v>354.28153862749167</v>
      </c>
      <c r="AA89" s="310">
        <f ca="1">VLOOKUP(E89,'1.2-Jaarprijzen'!$B$51:$Q$88,16,FALSE)*K89</f>
        <v>0</v>
      </c>
      <c r="AC89" s="226">
        <f t="shared" si="16"/>
        <v>740</v>
      </c>
      <c r="AD89" s="226" t="str">
        <f t="shared" si="17"/>
        <v>4200-200</v>
      </c>
    </row>
    <row r="90" spans="2:30" ht="12.5">
      <c r="B90" s="336"/>
      <c r="C90" s="337"/>
      <c r="D90" s="302">
        <f>VLOOKUP(E90,'1.2-Jaarprijzen'!B:G,6,FALSE)</f>
        <v>1</v>
      </c>
      <c r="E90" s="522" t="s">
        <v>82</v>
      </c>
      <c r="F90" s="302" t="s">
        <v>201</v>
      </c>
      <c r="G90" s="525" t="s">
        <v>178</v>
      </c>
      <c r="H90" s="523" t="s">
        <v>323</v>
      </c>
      <c r="I90" s="303" t="str">
        <f t="shared" si="29"/>
        <v>entree, gang, hal, repro, kopieer, was/droogruimte</v>
      </c>
      <c r="J90" s="302" t="s">
        <v>229</v>
      </c>
      <c r="K90" s="304">
        <v>5.7</v>
      </c>
      <c r="L90" s="304"/>
      <c r="M90" s="305">
        <v>3200</v>
      </c>
      <c r="N90" s="302"/>
      <c r="O90" s="306">
        <f t="shared" si="18"/>
        <v>200</v>
      </c>
      <c r="P90" s="472">
        <v>1</v>
      </c>
      <c r="Q90" s="472">
        <v>1</v>
      </c>
      <c r="R90" s="300">
        <f t="shared" si="19"/>
        <v>2.1454106483680744</v>
      </c>
      <c r="S90" s="300">
        <f t="shared" si="20"/>
        <v>0.64712114665450071</v>
      </c>
      <c r="T90" s="300">
        <f t="shared" si="21"/>
        <v>0</v>
      </c>
      <c r="U90" s="307">
        <f t="shared" si="13"/>
        <v>0.37638783304703055</v>
      </c>
      <c r="V90" s="307">
        <f t="shared" si="14"/>
        <v>0.11353002572885977</v>
      </c>
      <c r="W90" s="307">
        <f t="shared" si="15"/>
        <v>0</v>
      </c>
      <c r="X90" s="308" t="str">
        <f t="shared" si="22"/>
        <v>V</v>
      </c>
      <c r="Y90" s="309"/>
      <c r="Z90" s="310">
        <f>(R90+S90+T90)*'1.0-Contractblad'!$L$37</f>
        <v>84.802692299541391</v>
      </c>
      <c r="AA90" s="310">
        <f ca="1">VLOOKUP(E90,'1.2-Jaarprijzen'!$B$51:$Q$88,16,FALSE)*K90</f>
        <v>0</v>
      </c>
      <c r="AC90" s="226">
        <f t="shared" si="16"/>
        <v>1140</v>
      </c>
      <c r="AD90" s="226" t="str">
        <f t="shared" si="17"/>
        <v>3200-200</v>
      </c>
    </row>
    <row r="91" spans="2:30" ht="12.5">
      <c r="B91" s="336"/>
      <c r="C91" s="337"/>
      <c r="D91" s="302">
        <f>VLOOKUP(E91,'1.2-Jaarprijzen'!B:G,6,FALSE)</f>
        <v>1</v>
      </c>
      <c r="E91" s="522" t="s">
        <v>82</v>
      </c>
      <c r="F91" s="302" t="s">
        <v>201</v>
      </c>
      <c r="G91" s="525" t="s">
        <v>237</v>
      </c>
      <c r="H91" s="523" t="s">
        <v>328</v>
      </c>
      <c r="I91" s="303" t="str">
        <f t="shared" si="29"/>
        <v>leslokaal/leerplein</v>
      </c>
      <c r="J91" s="302" t="s">
        <v>229</v>
      </c>
      <c r="K91" s="304">
        <v>52.5</v>
      </c>
      <c r="L91" s="304"/>
      <c r="M91" s="305">
        <v>7200</v>
      </c>
      <c r="N91" s="302"/>
      <c r="O91" s="306">
        <f t="shared" si="18"/>
        <v>200</v>
      </c>
      <c r="P91" s="472">
        <v>1</v>
      </c>
      <c r="Q91" s="472">
        <v>1</v>
      </c>
      <c r="R91" s="300">
        <f t="shared" si="19"/>
        <v>27.461538461538463</v>
      </c>
      <c r="S91" s="300">
        <f t="shared" si="20"/>
        <v>4.8461538461538467</v>
      </c>
      <c r="T91" s="300">
        <f t="shared" si="21"/>
        <v>0</v>
      </c>
      <c r="U91" s="307">
        <f t="shared" si="13"/>
        <v>0.52307692307692311</v>
      </c>
      <c r="V91" s="307">
        <f t="shared" si="14"/>
        <v>9.2307692307692313E-2</v>
      </c>
      <c r="W91" s="307">
        <f t="shared" si="15"/>
        <v>0</v>
      </c>
      <c r="X91" s="308" t="str">
        <f t="shared" si="22"/>
        <v>L</v>
      </c>
      <c r="Y91" s="309"/>
      <c r="Z91" s="310">
        <f>(R91+S91+T91)*'1.0-Contractblad'!$L$37</f>
        <v>981.10943429932991</v>
      </c>
      <c r="AA91" s="310">
        <f ca="1">VLOOKUP(E91,'1.2-Jaarprijzen'!$B$51:$Q$88,16,FALSE)*K91</f>
        <v>0</v>
      </c>
      <c r="AC91" s="226">
        <f t="shared" si="16"/>
        <v>10500</v>
      </c>
      <c r="AD91" s="226" t="str">
        <f t="shared" si="17"/>
        <v>7200-200</v>
      </c>
    </row>
    <row r="92" spans="2:30" ht="12.5">
      <c r="B92" s="336"/>
      <c r="C92" s="337"/>
      <c r="D92" s="302">
        <f>VLOOKUP(E92,'1.2-Jaarprijzen'!B:G,6,FALSE)</f>
        <v>1</v>
      </c>
      <c r="E92" s="522" t="s">
        <v>82</v>
      </c>
      <c r="F92" s="302" t="s">
        <v>201</v>
      </c>
      <c r="G92" s="525" t="s">
        <v>239</v>
      </c>
      <c r="H92" s="523" t="s">
        <v>328</v>
      </c>
      <c r="I92" s="303" t="str">
        <f t="shared" si="29"/>
        <v>leslokaal/leerplein</v>
      </c>
      <c r="J92" s="302" t="s">
        <v>229</v>
      </c>
      <c r="K92" s="304">
        <v>52</v>
      </c>
      <c r="L92" s="304"/>
      <c r="M92" s="305">
        <v>7200</v>
      </c>
      <c r="N92" s="302"/>
      <c r="O92" s="306">
        <f t="shared" si="18"/>
        <v>200</v>
      </c>
      <c r="P92" s="472">
        <v>1</v>
      </c>
      <c r="Q92" s="472">
        <v>1</v>
      </c>
      <c r="R92" s="300">
        <f t="shared" si="19"/>
        <v>27.200000000000003</v>
      </c>
      <c r="S92" s="300">
        <f t="shared" si="20"/>
        <v>4.8000000000000007</v>
      </c>
      <c r="T92" s="300">
        <f t="shared" si="21"/>
        <v>0</v>
      </c>
      <c r="U92" s="307">
        <f t="shared" si="13"/>
        <v>0.52307692307692311</v>
      </c>
      <c r="V92" s="307">
        <f t="shared" si="14"/>
        <v>9.2307692307692313E-2</v>
      </c>
      <c r="W92" s="307">
        <f t="shared" si="15"/>
        <v>0</v>
      </c>
      <c r="X92" s="308" t="str">
        <f t="shared" si="22"/>
        <v>L</v>
      </c>
      <c r="Y92" s="309"/>
      <c r="Z92" s="310">
        <f>(R92+S92+T92)*'1.0-Contractblad'!$L$37</f>
        <v>971.76553492505059</v>
      </c>
      <c r="AA92" s="310">
        <f ca="1">VLOOKUP(E92,'1.2-Jaarprijzen'!$B$51:$Q$88,16,FALSE)*K92</f>
        <v>0</v>
      </c>
      <c r="AC92" s="226">
        <f t="shared" si="16"/>
        <v>10400</v>
      </c>
      <c r="AD92" s="226" t="str">
        <f t="shared" si="17"/>
        <v>7200-200</v>
      </c>
    </row>
    <row r="93" spans="2:30" ht="12.5">
      <c r="B93" s="336"/>
      <c r="C93" s="337"/>
      <c r="D93" s="302">
        <f>VLOOKUP(E93,'1.2-Jaarprijzen'!B:G,6,FALSE)</f>
        <v>1</v>
      </c>
      <c r="E93" s="522" t="s">
        <v>82</v>
      </c>
      <c r="F93" s="302" t="s">
        <v>201</v>
      </c>
      <c r="G93" s="525" t="s">
        <v>241</v>
      </c>
      <c r="H93" s="523" t="s">
        <v>328</v>
      </c>
      <c r="I93" s="303" t="str">
        <f t="shared" si="29"/>
        <v>leslokaal/leerplein</v>
      </c>
      <c r="J93" s="302" t="s">
        <v>229</v>
      </c>
      <c r="K93" s="304">
        <v>50.73</v>
      </c>
      <c r="L93" s="304"/>
      <c r="M93" s="305">
        <v>7200</v>
      </c>
      <c r="N93" s="302"/>
      <c r="O93" s="306">
        <f t="shared" si="18"/>
        <v>200</v>
      </c>
      <c r="P93" s="472">
        <v>1</v>
      </c>
      <c r="Q93" s="472">
        <v>1</v>
      </c>
      <c r="R93" s="300">
        <f t="shared" si="19"/>
        <v>26.535692307692308</v>
      </c>
      <c r="S93" s="300">
        <f t="shared" si="20"/>
        <v>4.6827692307692308</v>
      </c>
      <c r="T93" s="300">
        <f t="shared" si="21"/>
        <v>0</v>
      </c>
      <c r="U93" s="307">
        <f t="shared" si="13"/>
        <v>0.52307692307692311</v>
      </c>
      <c r="V93" s="307">
        <f t="shared" si="14"/>
        <v>9.2307692307692313E-2</v>
      </c>
      <c r="W93" s="307">
        <f t="shared" si="15"/>
        <v>0</v>
      </c>
      <c r="X93" s="308" t="str">
        <f t="shared" si="22"/>
        <v>L</v>
      </c>
      <c r="Y93" s="309"/>
      <c r="Z93" s="310">
        <f>(R93+S93+T93)*'1.0-Contractblad'!$L$37</f>
        <v>948.03203051438118</v>
      </c>
      <c r="AA93" s="310">
        <f ca="1">VLOOKUP(E93,'1.2-Jaarprijzen'!$B$51:$Q$88,16,FALSE)*K93</f>
        <v>0</v>
      </c>
      <c r="AC93" s="226">
        <f t="shared" si="16"/>
        <v>10146</v>
      </c>
      <c r="AD93" s="226" t="str">
        <f t="shared" si="17"/>
        <v>7200-200</v>
      </c>
    </row>
    <row r="94" spans="2:30" ht="12.5">
      <c r="B94" s="336"/>
      <c r="C94" s="337"/>
      <c r="D94" s="302">
        <f>VLOOKUP(E94,'1.2-Jaarprijzen'!B:G,6,FALSE)</f>
        <v>1</v>
      </c>
      <c r="E94" s="522" t="s">
        <v>82</v>
      </c>
      <c r="F94" s="302" t="s">
        <v>201</v>
      </c>
      <c r="G94" s="525" t="s">
        <v>242</v>
      </c>
      <c r="H94" s="523" t="s">
        <v>328</v>
      </c>
      <c r="I94" s="303" t="str">
        <f t="shared" si="29"/>
        <v>leslokaal/leerplein</v>
      </c>
      <c r="J94" s="302" t="s">
        <v>229</v>
      </c>
      <c r="K94" s="304">
        <v>50.5</v>
      </c>
      <c r="L94" s="304"/>
      <c r="M94" s="305">
        <v>7200</v>
      </c>
      <c r="N94" s="302"/>
      <c r="O94" s="306">
        <f t="shared" si="18"/>
        <v>200</v>
      </c>
      <c r="P94" s="472">
        <v>1</v>
      </c>
      <c r="Q94" s="472">
        <v>1</v>
      </c>
      <c r="R94" s="300">
        <f t="shared" si="19"/>
        <v>26.415384615384617</v>
      </c>
      <c r="S94" s="300">
        <f t="shared" si="20"/>
        <v>4.6615384615384619</v>
      </c>
      <c r="T94" s="300">
        <f t="shared" si="21"/>
        <v>0</v>
      </c>
      <c r="U94" s="307">
        <f t="shared" si="13"/>
        <v>0.52307692307692311</v>
      </c>
      <c r="V94" s="307">
        <f t="shared" si="14"/>
        <v>9.2307692307692313E-2</v>
      </c>
      <c r="W94" s="307">
        <f t="shared" si="15"/>
        <v>0</v>
      </c>
      <c r="X94" s="308" t="str">
        <f t="shared" si="22"/>
        <v>L</v>
      </c>
      <c r="Y94" s="309"/>
      <c r="Z94" s="310">
        <f>(R94+S94+T94)*'1.0-Contractblad'!$L$37</f>
        <v>943.73383680221264</v>
      </c>
      <c r="AA94" s="310">
        <f ca="1">VLOOKUP(E94,'1.2-Jaarprijzen'!$B$51:$Q$88,16,FALSE)*K94</f>
        <v>0</v>
      </c>
      <c r="AC94" s="226">
        <f t="shared" si="16"/>
        <v>10100</v>
      </c>
      <c r="AD94" s="226" t="str">
        <f t="shared" si="17"/>
        <v>7200-200</v>
      </c>
    </row>
    <row r="95" spans="2:30" ht="12.5">
      <c r="B95" s="336"/>
      <c r="C95" s="337"/>
      <c r="D95" s="302">
        <f>VLOOKUP(E95,'1.2-Jaarprijzen'!B:G,6,FALSE)</f>
        <v>1</v>
      </c>
      <c r="E95" s="522" t="s">
        <v>82</v>
      </c>
      <c r="F95" s="302" t="s">
        <v>201</v>
      </c>
      <c r="G95" s="525" t="s">
        <v>244</v>
      </c>
      <c r="H95" s="523" t="s">
        <v>329</v>
      </c>
      <c r="I95" s="303" t="str">
        <f t="shared" si="29"/>
        <v>sanitaire ruimte (toilet-/doucheruimte)</v>
      </c>
      <c r="J95" s="302" t="s">
        <v>229</v>
      </c>
      <c r="K95" s="304">
        <v>1.6755999999999998</v>
      </c>
      <c r="L95" s="304"/>
      <c r="M95" s="305">
        <v>4200</v>
      </c>
      <c r="N95" s="302"/>
      <c r="O95" s="306">
        <f t="shared" si="18"/>
        <v>200</v>
      </c>
      <c r="P95" s="472">
        <v>1</v>
      </c>
      <c r="Q95" s="472">
        <v>1</v>
      </c>
      <c r="R95" s="300">
        <f t="shared" si="19"/>
        <v>4.4908087655683424</v>
      </c>
      <c r="S95" s="300">
        <f t="shared" si="20"/>
        <v>0.79249566451206044</v>
      </c>
      <c r="T95" s="300">
        <f t="shared" si="21"/>
        <v>0</v>
      </c>
      <c r="U95" s="307">
        <f t="shared" si="13"/>
        <v>2.6801198171212359</v>
      </c>
      <c r="V95" s="307">
        <f t="shared" si="14"/>
        <v>0.4729623206684534</v>
      </c>
      <c r="W95" s="307">
        <f t="shared" si="15"/>
        <v>0</v>
      </c>
      <c r="X95" s="308" t="str">
        <f t="shared" si="22"/>
        <v>S</v>
      </c>
      <c r="Y95" s="309"/>
      <c r="Z95" s="310">
        <f>(R95+S95+T95)*'1.0-Contractblad'!$L$37</f>
        <v>160.44166111465537</v>
      </c>
      <c r="AA95" s="310">
        <f ca="1">VLOOKUP(E95,'1.2-Jaarprijzen'!$B$51:$Q$88,16,FALSE)*K95</f>
        <v>0</v>
      </c>
      <c r="AC95" s="226">
        <f t="shared" si="16"/>
        <v>335.11999999999995</v>
      </c>
      <c r="AD95" s="226" t="str">
        <f t="shared" si="17"/>
        <v>4200-200</v>
      </c>
    </row>
    <row r="96" spans="2:30" ht="12.5">
      <c r="B96" s="336"/>
      <c r="C96" s="337"/>
      <c r="D96" s="302">
        <f>VLOOKUP(E96,'1.2-Jaarprijzen'!B:G,6,FALSE)</f>
        <v>1</v>
      </c>
      <c r="E96" s="522" t="s">
        <v>82</v>
      </c>
      <c r="F96" s="302" t="s">
        <v>201</v>
      </c>
      <c r="G96" s="525" t="s">
        <v>246</v>
      </c>
      <c r="H96" s="523" t="s">
        <v>220</v>
      </c>
      <c r="I96" s="303" t="str">
        <f t="shared" si="29"/>
        <v>sanitaire ruimte (toilet-/doucheruimte)</v>
      </c>
      <c r="J96" s="302" t="s">
        <v>229</v>
      </c>
      <c r="K96" s="304">
        <v>1.1639999999999999</v>
      </c>
      <c r="L96" s="304"/>
      <c r="M96" s="305">
        <v>4200</v>
      </c>
      <c r="N96" s="302"/>
      <c r="O96" s="306">
        <f t="shared" si="18"/>
        <v>200</v>
      </c>
      <c r="P96" s="472">
        <v>1</v>
      </c>
      <c r="Q96" s="472">
        <v>1</v>
      </c>
      <c r="R96" s="300">
        <f t="shared" si="19"/>
        <v>3.1196594671291185</v>
      </c>
      <c r="S96" s="300">
        <f t="shared" si="20"/>
        <v>0.5505281412580797</v>
      </c>
      <c r="T96" s="300">
        <f t="shared" si="21"/>
        <v>0</v>
      </c>
      <c r="U96" s="307">
        <f t="shared" si="13"/>
        <v>2.6801198171212359</v>
      </c>
      <c r="V96" s="307">
        <f t="shared" si="14"/>
        <v>0.4729623206684534</v>
      </c>
      <c r="W96" s="307">
        <f t="shared" si="15"/>
        <v>0</v>
      </c>
      <c r="X96" s="308" t="str">
        <f t="shared" si="22"/>
        <v>S</v>
      </c>
      <c r="Y96" s="309"/>
      <c r="Z96" s="310">
        <f>(R96+S96+T96)*'1.0-Contractblad'!$L$37</f>
        <v>111.45505701686493</v>
      </c>
      <c r="AA96" s="310">
        <f ca="1">VLOOKUP(E96,'1.2-Jaarprijzen'!$B$51:$Q$88,16,FALSE)*K96</f>
        <v>0</v>
      </c>
      <c r="AC96" s="226">
        <f t="shared" si="16"/>
        <v>232.79999999999998</v>
      </c>
      <c r="AD96" s="226" t="str">
        <f t="shared" si="17"/>
        <v>4200-200</v>
      </c>
    </row>
    <row r="97" spans="2:30" ht="12.5">
      <c r="B97" s="336"/>
      <c r="C97" s="337"/>
      <c r="D97" s="302">
        <f>VLOOKUP(E97,'1.2-Jaarprijzen'!B:G,6,FALSE)</f>
        <v>1</v>
      </c>
      <c r="E97" s="522" t="s">
        <v>82</v>
      </c>
      <c r="F97" s="302" t="s">
        <v>201</v>
      </c>
      <c r="G97" s="525" t="s">
        <v>248</v>
      </c>
      <c r="H97" s="523" t="s">
        <v>329</v>
      </c>
      <c r="I97" s="303" t="str">
        <f t="shared" si="29"/>
        <v>sanitaire ruimte (toilet-/doucheruimte)</v>
      </c>
      <c r="J97" s="302" t="s">
        <v>229</v>
      </c>
      <c r="K97" s="304">
        <v>3.9439999999999995</v>
      </c>
      <c r="L97" s="304"/>
      <c r="M97" s="305">
        <v>4200</v>
      </c>
      <c r="N97" s="302"/>
      <c r="O97" s="306">
        <f t="shared" si="18"/>
        <v>200</v>
      </c>
      <c r="P97" s="472">
        <v>1</v>
      </c>
      <c r="Q97" s="472">
        <v>1</v>
      </c>
      <c r="R97" s="300">
        <f t="shared" si="19"/>
        <v>10.570392558726153</v>
      </c>
      <c r="S97" s="300">
        <f t="shared" si="20"/>
        <v>1.86536339271638</v>
      </c>
      <c r="T97" s="300">
        <f t="shared" si="21"/>
        <v>0</v>
      </c>
      <c r="U97" s="307">
        <f t="shared" si="13"/>
        <v>2.6801198171212359</v>
      </c>
      <c r="V97" s="307">
        <f t="shared" si="14"/>
        <v>0.4729623206684534</v>
      </c>
      <c r="W97" s="307">
        <f t="shared" si="15"/>
        <v>0</v>
      </c>
      <c r="X97" s="308" t="str">
        <f t="shared" si="22"/>
        <v>S</v>
      </c>
      <c r="Y97" s="309"/>
      <c r="Z97" s="310">
        <f>(R97+S97+T97)*'1.0-Contractblad'!$L$37</f>
        <v>377.64496982346674</v>
      </c>
      <c r="AA97" s="310">
        <f ca="1">VLOOKUP(E97,'1.2-Jaarprijzen'!$B$51:$Q$88,16,FALSE)*K97</f>
        <v>0</v>
      </c>
      <c r="AC97" s="226">
        <f t="shared" si="16"/>
        <v>788.8</v>
      </c>
      <c r="AD97" s="226" t="str">
        <f t="shared" si="17"/>
        <v>4200-200</v>
      </c>
    </row>
    <row r="98" spans="2:30" ht="12.5">
      <c r="B98" s="336"/>
      <c r="C98" s="337"/>
      <c r="D98" s="302">
        <f>VLOOKUP(E98,'1.2-Jaarprijzen'!B:G,6,FALSE)</f>
        <v>1</v>
      </c>
      <c r="E98" s="522" t="s">
        <v>82</v>
      </c>
      <c r="F98" s="302" t="s">
        <v>201</v>
      </c>
      <c r="G98" s="525" t="s">
        <v>250</v>
      </c>
      <c r="H98" s="523" t="s">
        <v>220</v>
      </c>
      <c r="I98" s="303" t="str">
        <f t="shared" si="29"/>
        <v>sanitaire ruimte (toilet-/doucheruimte)</v>
      </c>
      <c r="J98" s="302" t="s">
        <v>229</v>
      </c>
      <c r="K98" s="304">
        <v>1.1639999999999999</v>
      </c>
      <c r="L98" s="304"/>
      <c r="M98" s="305">
        <v>4200</v>
      </c>
      <c r="N98" s="302"/>
      <c r="O98" s="306">
        <f t="shared" si="18"/>
        <v>200</v>
      </c>
      <c r="P98" s="472">
        <v>1</v>
      </c>
      <c r="Q98" s="472">
        <v>1</v>
      </c>
      <c r="R98" s="300">
        <f t="shared" si="19"/>
        <v>3.1196594671291185</v>
      </c>
      <c r="S98" s="300">
        <f t="shared" si="20"/>
        <v>0.5505281412580797</v>
      </c>
      <c r="T98" s="300">
        <f t="shared" si="21"/>
        <v>0</v>
      </c>
      <c r="U98" s="307">
        <f t="shared" ref="U98:U166" si="30">IF($M98=0,0,VLOOKUP($M98,Kengetal,6,FALSE))</f>
        <v>2.6801198171212359</v>
      </c>
      <c r="V98" s="307">
        <f t="shared" ref="V98:V166" si="31">IF($M98=0,0,VLOOKUP($M98,Kengetal,7,FALSE))</f>
        <v>0.4729623206684534</v>
      </c>
      <c r="W98" s="307">
        <f t="shared" ref="W98:W166" si="32">IF($N98=0,0,VLOOKUP($N98,Kengetal,6,FALSE))</f>
        <v>0</v>
      </c>
      <c r="X98" s="308" t="str">
        <f t="shared" si="22"/>
        <v>S</v>
      </c>
      <c r="Y98" s="309"/>
      <c r="Z98" s="310">
        <f>(R98+S98+T98)*'1.0-Contractblad'!$L$37</f>
        <v>111.45505701686493</v>
      </c>
      <c r="AA98" s="310">
        <f ca="1">VLOOKUP(E98,'1.2-Jaarprijzen'!$B$51:$Q$88,16,FALSE)*K98</f>
        <v>0</v>
      </c>
      <c r="AC98" s="226">
        <f t="shared" si="16"/>
        <v>232.79999999999998</v>
      </c>
      <c r="AD98" s="226" t="str">
        <f t="shared" si="17"/>
        <v>4200-200</v>
      </c>
    </row>
    <row r="99" spans="2:30" ht="12.5">
      <c r="B99" s="336"/>
      <c r="C99" s="337"/>
      <c r="D99" s="302">
        <f>VLOOKUP(E99,'1.2-Jaarprijzen'!B:G,6,FALSE)</f>
        <v>1</v>
      </c>
      <c r="E99" s="522" t="s">
        <v>82</v>
      </c>
      <c r="F99" s="302" t="s">
        <v>201</v>
      </c>
      <c r="G99" s="525" t="s">
        <v>251</v>
      </c>
      <c r="H99" s="523" t="s">
        <v>329</v>
      </c>
      <c r="I99" s="303" t="str">
        <f t="shared" si="29"/>
        <v>sanitaire ruimte (toilet-/doucheruimte)</v>
      </c>
      <c r="J99" s="302" t="s">
        <v>229</v>
      </c>
      <c r="K99" s="304">
        <v>1.6755999999999998</v>
      </c>
      <c r="L99" s="304"/>
      <c r="M99" s="305">
        <v>4200</v>
      </c>
      <c r="N99" s="302"/>
      <c r="O99" s="306">
        <f t="shared" si="18"/>
        <v>200</v>
      </c>
      <c r="P99" s="472">
        <v>1</v>
      </c>
      <c r="Q99" s="472">
        <v>1</v>
      </c>
      <c r="R99" s="300">
        <f t="shared" si="19"/>
        <v>4.4908087655683424</v>
      </c>
      <c r="S99" s="300">
        <f t="shared" si="20"/>
        <v>0.79249566451206044</v>
      </c>
      <c r="T99" s="300">
        <f t="shared" si="21"/>
        <v>0</v>
      </c>
      <c r="U99" s="307">
        <f t="shared" si="30"/>
        <v>2.6801198171212359</v>
      </c>
      <c r="V99" s="307">
        <f t="shared" si="31"/>
        <v>0.4729623206684534</v>
      </c>
      <c r="W99" s="307">
        <f t="shared" si="32"/>
        <v>0</v>
      </c>
      <c r="X99" s="308" t="str">
        <f t="shared" si="22"/>
        <v>S</v>
      </c>
      <c r="Y99" s="309"/>
      <c r="Z99" s="310">
        <f>(R99+S99+T99)*'1.0-Contractblad'!$L$37</f>
        <v>160.44166111465537</v>
      </c>
      <c r="AA99" s="310">
        <f ca="1">VLOOKUP(E99,'1.2-Jaarprijzen'!$B$51:$Q$88,16,FALSE)*K99</f>
        <v>0</v>
      </c>
      <c r="AC99" s="226">
        <f t="shared" si="16"/>
        <v>335.11999999999995</v>
      </c>
      <c r="AD99" s="226" t="str">
        <f t="shared" si="17"/>
        <v>4200-200</v>
      </c>
    </row>
    <row r="100" spans="2:30" ht="12.5">
      <c r="B100" s="336"/>
      <c r="C100" s="337"/>
      <c r="D100" s="302">
        <f>VLOOKUP(E100,'1.2-Jaarprijzen'!B:G,6,FALSE)</f>
        <v>1</v>
      </c>
      <c r="E100" s="522" t="s">
        <v>82</v>
      </c>
      <c r="F100" s="302" t="s">
        <v>201</v>
      </c>
      <c r="G100" s="525" t="s">
        <v>254</v>
      </c>
      <c r="H100" s="523" t="s">
        <v>220</v>
      </c>
      <c r="I100" s="303" t="str">
        <f t="shared" si="29"/>
        <v>sanitaire ruimte (toilet-/doucheruimte)</v>
      </c>
      <c r="J100" s="302" t="s">
        <v>229</v>
      </c>
      <c r="K100" s="304">
        <v>1.1639999999999999</v>
      </c>
      <c r="L100" s="304"/>
      <c r="M100" s="305">
        <v>4200</v>
      </c>
      <c r="N100" s="302"/>
      <c r="O100" s="306">
        <f t="shared" si="18"/>
        <v>200</v>
      </c>
      <c r="P100" s="472">
        <v>1</v>
      </c>
      <c r="Q100" s="472">
        <v>1</v>
      </c>
      <c r="R100" s="300">
        <f t="shared" si="19"/>
        <v>3.1196594671291185</v>
      </c>
      <c r="S100" s="300">
        <f t="shared" si="20"/>
        <v>0.5505281412580797</v>
      </c>
      <c r="T100" s="300">
        <f t="shared" si="21"/>
        <v>0</v>
      </c>
      <c r="U100" s="307">
        <f t="shared" si="30"/>
        <v>2.6801198171212359</v>
      </c>
      <c r="V100" s="307">
        <f t="shared" si="31"/>
        <v>0.4729623206684534</v>
      </c>
      <c r="W100" s="307">
        <f t="shared" si="32"/>
        <v>0</v>
      </c>
      <c r="X100" s="308" t="str">
        <f t="shared" si="22"/>
        <v>S</v>
      </c>
      <c r="Y100" s="309"/>
      <c r="Z100" s="310">
        <f>(R100+S100+T100)*'1.0-Contractblad'!$L$37</f>
        <v>111.45505701686493</v>
      </c>
      <c r="AA100" s="310">
        <f ca="1">VLOOKUP(E100,'1.2-Jaarprijzen'!$B$51:$Q$88,16,FALSE)*K100</f>
        <v>0</v>
      </c>
      <c r="AC100" s="226">
        <f t="shared" si="16"/>
        <v>232.79999999999998</v>
      </c>
      <c r="AD100" s="226" t="str">
        <f t="shared" si="17"/>
        <v>4200-200</v>
      </c>
    </row>
    <row r="101" spans="2:30" ht="12.5">
      <c r="B101" s="336"/>
      <c r="C101" s="337"/>
      <c r="D101" s="302">
        <f>VLOOKUP(E101,'1.2-Jaarprijzen'!B:G,6,FALSE)</f>
        <v>1</v>
      </c>
      <c r="E101" s="522" t="s">
        <v>82</v>
      </c>
      <c r="F101" s="302" t="s">
        <v>201</v>
      </c>
      <c r="G101" s="525" t="s">
        <v>255</v>
      </c>
      <c r="H101" s="523" t="s">
        <v>329</v>
      </c>
      <c r="I101" s="303" t="str">
        <f t="shared" si="29"/>
        <v>sanitaire ruimte (toilet-/doucheruimte)</v>
      </c>
      <c r="J101" s="302" t="s">
        <v>229</v>
      </c>
      <c r="K101" s="304">
        <v>3.9439999999999995</v>
      </c>
      <c r="L101" s="304"/>
      <c r="M101" s="305">
        <v>4200</v>
      </c>
      <c r="N101" s="302"/>
      <c r="O101" s="306">
        <f t="shared" si="18"/>
        <v>200</v>
      </c>
      <c r="P101" s="472">
        <v>1</v>
      </c>
      <c r="Q101" s="472">
        <v>1</v>
      </c>
      <c r="R101" s="300">
        <f t="shared" si="19"/>
        <v>10.570392558726153</v>
      </c>
      <c r="S101" s="300">
        <f t="shared" si="20"/>
        <v>1.86536339271638</v>
      </c>
      <c r="T101" s="300">
        <f t="shared" si="21"/>
        <v>0</v>
      </c>
      <c r="U101" s="307">
        <f t="shared" si="30"/>
        <v>2.6801198171212359</v>
      </c>
      <c r="V101" s="307">
        <f t="shared" si="31"/>
        <v>0.4729623206684534</v>
      </c>
      <c r="W101" s="307">
        <f t="shared" si="32"/>
        <v>0</v>
      </c>
      <c r="X101" s="308" t="str">
        <f t="shared" si="22"/>
        <v>S</v>
      </c>
      <c r="Y101" s="309"/>
      <c r="Z101" s="310">
        <f>(R101+S101+T101)*'1.0-Contractblad'!$L$37</f>
        <v>377.64496982346674</v>
      </c>
      <c r="AA101" s="310">
        <f ca="1">VLOOKUP(E101,'1.2-Jaarprijzen'!$B$51:$Q$88,16,FALSE)*K101</f>
        <v>0</v>
      </c>
      <c r="AC101" s="226">
        <f t="shared" si="16"/>
        <v>788.8</v>
      </c>
      <c r="AD101" s="226" t="str">
        <f t="shared" si="17"/>
        <v>4200-200</v>
      </c>
    </row>
    <row r="102" spans="2:30" ht="12.5">
      <c r="B102" s="336"/>
      <c r="C102" s="337"/>
      <c r="D102" s="302">
        <f>VLOOKUP(E102,'1.2-Jaarprijzen'!B:G,6,FALSE)</f>
        <v>1</v>
      </c>
      <c r="E102" s="522" t="s">
        <v>82</v>
      </c>
      <c r="F102" s="302" t="s">
        <v>201</v>
      </c>
      <c r="G102" s="525" t="s">
        <v>260</v>
      </c>
      <c r="H102" s="523" t="s">
        <v>220</v>
      </c>
      <c r="I102" s="303" t="str">
        <f t="shared" si="29"/>
        <v>sanitaire ruimte (toilet-/doucheruimte)</v>
      </c>
      <c r="J102" s="302" t="s">
        <v>229</v>
      </c>
      <c r="K102" s="304">
        <v>1.1639999999999999</v>
      </c>
      <c r="L102" s="304"/>
      <c r="M102" s="305">
        <v>4200</v>
      </c>
      <c r="N102" s="302"/>
      <c r="O102" s="306">
        <f t="shared" si="18"/>
        <v>200</v>
      </c>
      <c r="P102" s="472">
        <v>1</v>
      </c>
      <c r="Q102" s="472">
        <v>1</v>
      </c>
      <c r="R102" s="300">
        <f t="shared" si="19"/>
        <v>3.1196594671291185</v>
      </c>
      <c r="S102" s="300">
        <f t="shared" si="20"/>
        <v>0.5505281412580797</v>
      </c>
      <c r="T102" s="300">
        <f t="shared" si="21"/>
        <v>0</v>
      </c>
      <c r="U102" s="307">
        <f t="shared" si="30"/>
        <v>2.6801198171212359</v>
      </c>
      <c r="V102" s="307">
        <f t="shared" si="31"/>
        <v>0.4729623206684534</v>
      </c>
      <c r="W102" s="307">
        <f t="shared" si="32"/>
        <v>0</v>
      </c>
      <c r="X102" s="308" t="str">
        <f t="shared" si="22"/>
        <v>S</v>
      </c>
      <c r="Y102" s="309"/>
      <c r="Z102" s="310">
        <f>(R102+S102+T102)*'1.0-Contractblad'!$L$37</f>
        <v>111.45505701686493</v>
      </c>
      <c r="AA102" s="310">
        <f ca="1">VLOOKUP(E102,'1.2-Jaarprijzen'!$B$51:$Q$88,16,FALSE)*K102</f>
        <v>0</v>
      </c>
      <c r="AC102" s="226">
        <f t="shared" si="16"/>
        <v>232.79999999999998</v>
      </c>
      <c r="AD102" s="226" t="str">
        <f t="shared" si="17"/>
        <v>4200-200</v>
      </c>
    </row>
    <row r="103" spans="2:30" ht="12.5">
      <c r="B103" s="336"/>
      <c r="C103" s="337"/>
      <c r="D103" s="302">
        <f>VLOOKUP(E103,'1.2-Jaarprijzen'!B:G,6,FALSE)</f>
        <v>1</v>
      </c>
      <c r="E103" s="522" t="s">
        <v>82</v>
      </c>
      <c r="F103" s="302" t="s">
        <v>201</v>
      </c>
      <c r="G103" s="525" t="s">
        <v>330</v>
      </c>
      <c r="H103" s="523" t="s">
        <v>317</v>
      </c>
      <c r="I103" s="303" t="str">
        <f t="shared" si="29"/>
        <v>entree, gang, hal, repro, kopieer, was/droogruimte</v>
      </c>
      <c r="J103" s="302" t="s">
        <v>253</v>
      </c>
      <c r="K103" s="304">
        <v>13.3</v>
      </c>
      <c r="L103" s="304"/>
      <c r="M103" s="305">
        <v>3200</v>
      </c>
      <c r="N103" s="302"/>
      <c r="O103" s="306">
        <f t="shared" si="18"/>
        <v>200</v>
      </c>
      <c r="P103" s="472">
        <v>1</v>
      </c>
      <c r="Q103" s="472">
        <v>1</v>
      </c>
      <c r="R103" s="300">
        <f t="shared" si="19"/>
        <v>5.005958179525507</v>
      </c>
      <c r="S103" s="300">
        <f t="shared" si="20"/>
        <v>1.509949342193835</v>
      </c>
      <c r="T103" s="300">
        <f t="shared" si="21"/>
        <v>0</v>
      </c>
      <c r="U103" s="307">
        <f t="shared" si="30"/>
        <v>0.37638783304703055</v>
      </c>
      <c r="V103" s="307">
        <f t="shared" si="31"/>
        <v>0.11353002572885977</v>
      </c>
      <c r="W103" s="307">
        <f t="shared" si="32"/>
        <v>0</v>
      </c>
      <c r="X103" s="308" t="str">
        <f t="shared" si="22"/>
        <v>V</v>
      </c>
      <c r="Y103" s="309"/>
      <c r="Z103" s="310">
        <f>(R103+S103+T103)*'1.0-Contractblad'!$L$37</f>
        <v>197.87294869892992</v>
      </c>
      <c r="AA103" s="310">
        <f ca="1">VLOOKUP(E103,'1.2-Jaarprijzen'!$B$51:$Q$88,16,FALSE)*K103</f>
        <v>0</v>
      </c>
      <c r="AC103" s="226">
        <f t="shared" si="16"/>
        <v>2660</v>
      </c>
      <c r="AD103" s="226" t="str">
        <f t="shared" si="17"/>
        <v>3200-200</v>
      </c>
    </row>
    <row r="104" spans="2:30" ht="12.5">
      <c r="B104" s="336"/>
      <c r="C104" s="337"/>
      <c r="D104" s="302">
        <f>VLOOKUP(E104,'1.2-Jaarprijzen'!B:G,6,FALSE)</f>
        <v>1</v>
      </c>
      <c r="E104" s="522" t="s">
        <v>82</v>
      </c>
      <c r="F104" s="302" t="s">
        <v>201</v>
      </c>
      <c r="G104" s="525" t="s">
        <v>263</v>
      </c>
      <c r="H104" s="523" t="s">
        <v>331</v>
      </c>
      <c r="I104" s="303" t="str">
        <f t="shared" si="29"/>
        <v>administratieve -, personeels- en vergaderruimte</v>
      </c>
      <c r="J104" s="302" t="s">
        <v>229</v>
      </c>
      <c r="K104" s="304">
        <v>9.33</v>
      </c>
      <c r="L104" s="304"/>
      <c r="M104" s="305">
        <v>1080</v>
      </c>
      <c r="N104" s="302"/>
      <c r="O104" s="306">
        <f t="shared" si="18"/>
        <v>80</v>
      </c>
      <c r="P104" s="472">
        <v>1</v>
      </c>
      <c r="Q104" s="472">
        <v>1</v>
      </c>
      <c r="R104" s="300">
        <f t="shared" si="19"/>
        <v>1.9521230769230771</v>
      </c>
      <c r="S104" s="300">
        <f t="shared" si="20"/>
        <v>0.34449230769230771</v>
      </c>
      <c r="T104" s="300">
        <f t="shared" si="21"/>
        <v>0</v>
      </c>
      <c r="U104" s="307">
        <f t="shared" si="30"/>
        <v>0.20923076923076925</v>
      </c>
      <c r="V104" s="307">
        <f t="shared" si="31"/>
        <v>3.6923076923076927E-2</v>
      </c>
      <c r="W104" s="307">
        <f t="shared" si="32"/>
        <v>0</v>
      </c>
      <c r="X104" s="308" t="str">
        <f t="shared" si="22"/>
        <v>V</v>
      </c>
      <c r="Y104" s="309"/>
      <c r="Z104" s="310">
        <f>(R104+S104+T104)*'1.0-Contractblad'!$L$37</f>
        <v>69.74286492962095</v>
      </c>
      <c r="AA104" s="310">
        <f ca="1">VLOOKUP(E104,'1.2-Jaarprijzen'!$B$51:$Q$88,16,FALSE)*K104</f>
        <v>0</v>
      </c>
      <c r="AC104" s="226">
        <f t="shared" si="16"/>
        <v>746.4</v>
      </c>
      <c r="AD104" s="226" t="str">
        <f t="shared" si="17"/>
        <v>1080-80</v>
      </c>
    </row>
    <row r="105" spans="2:30" ht="12.5">
      <c r="B105" s="336"/>
      <c r="C105" s="337"/>
      <c r="D105" s="302">
        <f>VLOOKUP(E105,'1.2-Jaarprijzen'!B:G,6,FALSE)</f>
        <v>1</v>
      </c>
      <c r="E105" s="522" t="s">
        <v>82</v>
      </c>
      <c r="F105" s="302" t="s">
        <v>201</v>
      </c>
      <c r="G105" s="525" t="s">
        <v>267</v>
      </c>
      <c r="H105" s="523" t="s">
        <v>280</v>
      </c>
      <c r="I105" s="303" t="str">
        <f t="shared" si="29"/>
        <v>entree, gang, hal, repro, kopieer, was/droogruimte</v>
      </c>
      <c r="J105" s="302" t="s">
        <v>229</v>
      </c>
      <c r="K105" s="304">
        <v>50.4</v>
      </c>
      <c r="L105" s="304"/>
      <c r="M105" s="305">
        <v>3200</v>
      </c>
      <c r="N105" s="302"/>
      <c r="O105" s="306">
        <f t="shared" si="18"/>
        <v>200</v>
      </c>
      <c r="P105" s="472">
        <v>1</v>
      </c>
      <c r="Q105" s="472">
        <v>1</v>
      </c>
      <c r="R105" s="300">
        <f t="shared" si="19"/>
        <v>18.96994678557034</v>
      </c>
      <c r="S105" s="300">
        <f t="shared" si="20"/>
        <v>5.7219132967345319</v>
      </c>
      <c r="T105" s="300">
        <f t="shared" si="21"/>
        <v>0</v>
      </c>
      <c r="U105" s="307">
        <f t="shared" si="30"/>
        <v>0.37638783304703055</v>
      </c>
      <c r="V105" s="307">
        <f t="shared" si="31"/>
        <v>0.11353002572885977</v>
      </c>
      <c r="W105" s="307">
        <f t="shared" si="32"/>
        <v>0</v>
      </c>
      <c r="X105" s="308" t="str">
        <f t="shared" si="22"/>
        <v>V</v>
      </c>
      <c r="Y105" s="309"/>
      <c r="Z105" s="310">
        <f>(R105+S105+T105)*'1.0-Contractblad'!$L$37</f>
        <v>749.83433191173424</v>
      </c>
      <c r="AA105" s="310">
        <f ca="1">VLOOKUP(E105,'1.2-Jaarprijzen'!$B$51:$Q$88,16,FALSE)*K105</f>
        <v>0</v>
      </c>
      <c r="AC105" s="226">
        <f t="shared" si="16"/>
        <v>10080</v>
      </c>
      <c r="AD105" s="226" t="str">
        <f t="shared" si="17"/>
        <v>3200-200</v>
      </c>
    </row>
    <row r="106" spans="2:30" ht="12.5">
      <c r="B106" s="336"/>
      <c r="C106" s="337"/>
      <c r="D106" s="302">
        <f>VLOOKUP(E106,'1.2-Jaarprijzen'!B:G,6,FALSE)</f>
        <v>1</v>
      </c>
      <c r="E106" s="522" t="s">
        <v>82</v>
      </c>
      <c r="F106" s="302" t="s">
        <v>201</v>
      </c>
      <c r="G106" s="525" t="s">
        <v>332</v>
      </c>
      <c r="H106" s="523" t="s">
        <v>280</v>
      </c>
      <c r="I106" s="303" t="str">
        <f t="shared" si="29"/>
        <v>entree, gang, hal, repro, kopieer, was/droogruimte</v>
      </c>
      <c r="J106" s="302" t="s">
        <v>229</v>
      </c>
      <c r="K106" s="304">
        <v>107.5</v>
      </c>
      <c r="L106" s="304"/>
      <c r="M106" s="305">
        <v>3200</v>
      </c>
      <c r="N106" s="302"/>
      <c r="O106" s="306">
        <f t="shared" si="18"/>
        <v>200</v>
      </c>
      <c r="P106" s="472">
        <v>1</v>
      </c>
      <c r="Q106" s="472">
        <v>1</v>
      </c>
      <c r="R106" s="300">
        <f t="shared" si="19"/>
        <v>40.461692052555783</v>
      </c>
      <c r="S106" s="300">
        <f t="shared" si="20"/>
        <v>12.204477765852426</v>
      </c>
      <c r="T106" s="300">
        <f t="shared" si="21"/>
        <v>0</v>
      </c>
      <c r="U106" s="307">
        <f t="shared" si="30"/>
        <v>0.37638783304703055</v>
      </c>
      <c r="V106" s="307">
        <f t="shared" si="31"/>
        <v>0.11353002572885977</v>
      </c>
      <c r="W106" s="307">
        <f t="shared" si="32"/>
        <v>0</v>
      </c>
      <c r="X106" s="308" t="str">
        <f t="shared" si="22"/>
        <v>V</v>
      </c>
      <c r="Y106" s="309"/>
      <c r="Z106" s="310">
        <f>(R106+S106+T106)*'1.0-Contractblad'!$L$37</f>
        <v>1599.3490214387189</v>
      </c>
      <c r="AA106" s="310">
        <f ca="1">VLOOKUP(E106,'1.2-Jaarprijzen'!$B$51:$Q$88,16,FALSE)*K106</f>
        <v>0</v>
      </c>
      <c r="AC106" s="226">
        <f t="shared" ref="AC106:AC169" si="33">K106*O106</f>
        <v>21500</v>
      </c>
      <c r="AD106" s="226" t="str">
        <f t="shared" ref="AD106:AD169" si="34">CONCATENATE(M106,"-",O106)</f>
        <v>3200-200</v>
      </c>
    </row>
    <row r="107" spans="2:30" ht="12.5">
      <c r="B107" s="336"/>
      <c r="C107" s="337"/>
      <c r="D107" s="302">
        <f>VLOOKUP(E107,'1.2-Jaarprijzen'!B:G,6,FALSE)</f>
        <v>1</v>
      </c>
      <c r="E107" s="522" t="s">
        <v>82</v>
      </c>
      <c r="F107" s="302" t="s">
        <v>201</v>
      </c>
      <c r="G107" s="525" t="s">
        <v>269</v>
      </c>
      <c r="H107" s="523" t="s">
        <v>328</v>
      </c>
      <c r="I107" s="303" t="str">
        <f t="shared" si="29"/>
        <v>leslokaal/leerplein</v>
      </c>
      <c r="J107" s="302" t="s">
        <v>229</v>
      </c>
      <c r="K107" s="304">
        <v>53.66</v>
      </c>
      <c r="L107" s="304"/>
      <c r="M107" s="305">
        <v>7200</v>
      </c>
      <c r="N107" s="302"/>
      <c r="O107" s="306">
        <f t="shared" si="18"/>
        <v>200</v>
      </c>
      <c r="P107" s="472">
        <v>1</v>
      </c>
      <c r="Q107" s="472">
        <v>1</v>
      </c>
      <c r="R107" s="300">
        <f t="shared" si="19"/>
        <v>28.068307692307691</v>
      </c>
      <c r="S107" s="300">
        <f t="shared" si="20"/>
        <v>4.9532307692307693</v>
      </c>
      <c r="T107" s="300">
        <f t="shared" si="21"/>
        <v>0</v>
      </c>
      <c r="U107" s="307">
        <f t="shared" si="30"/>
        <v>0.52307692307692311</v>
      </c>
      <c r="V107" s="307">
        <f t="shared" si="31"/>
        <v>9.2307692307692313E-2</v>
      </c>
      <c r="W107" s="307">
        <f t="shared" si="32"/>
        <v>0</v>
      </c>
      <c r="X107" s="308" t="str">
        <f t="shared" si="22"/>
        <v>L</v>
      </c>
      <c r="Y107" s="309"/>
      <c r="Z107" s="310">
        <f>(R107+S107+T107)*'1.0-Contractblad'!$L$37</f>
        <v>1002.7872808476579</v>
      </c>
      <c r="AA107" s="310">
        <f ca="1">VLOOKUP(E107,'1.2-Jaarprijzen'!$B$51:$Q$88,16,FALSE)*K107</f>
        <v>0</v>
      </c>
      <c r="AC107" s="226">
        <f t="shared" si="33"/>
        <v>10732</v>
      </c>
      <c r="AD107" s="226" t="str">
        <f t="shared" si="34"/>
        <v>7200-200</v>
      </c>
    </row>
    <row r="108" spans="2:30" ht="12.5">
      <c r="B108" s="336"/>
      <c r="C108" s="337"/>
      <c r="D108" s="302">
        <f>VLOOKUP(E108,'1.2-Jaarprijzen'!B:G,6,FALSE)</f>
        <v>1</v>
      </c>
      <c r="E108" s="522" t="s">
        <v>82</v>
      </c>
      <c r="F108" s="302" t="s">
        <v>201</v>
      </c>
      <c r="G108" s="525" t="s">
        <v>271</v>
      </c>
      <c r="H108" s="523" t="s">
        <v>328</v>
      </c>
      <c r="I108" s="303" t="str">
        <f t="shared" si="29"/>
        <v>leslokaal/leerplein</v>
      </c>
      <c r="J108" s="302" t="s">
        <v>229</v>
      </c>
      <c r="K108" s="304">
        <v>53.66</v>
      </c>
      <c r="L108" s="304"/>
      <c r="M108" s="305">
        <v>7200</v>
      </c>
      <c r="N108" s="302"/>
      <c r="O108" s="306">
        <f t="shared" si="18"/>
        <v>200</v>
      </c>
      <c r="P108" s="472">
        <v>1</v>
      </c>
      <c r="Q108" s="472">
        <v>1</v>
      </c>
      <c r="R108" s="300">
        <f t="shared" si="19"/>
        <v>28.068307692307691</v>
      </c>
      <c r="S108" s="300">
        <f t="shared" si="20"/>
        <v>4.9532307692307693</v>
      </c>
      <c r="T108" s="300">
        <f t="shared" si="21"/>
        <v>0</v>
      </c>
      <c r="U108" s="307">
        <f t="shared" si="30"/>
        <v>0.52307692307692311</v>
      </c>
      <c r="V108" s="307">
        <f t="shared" si="31"/>
        <v>9.2307692307692313E-2</v>
      </c>
      <c r="W108" s="307">
        <f t="shared" si="32"/>
        <v>0</v>
      </c>
      <c r="X108" s="308" t="str">
        <f t="shared" si="22"/>
        <v>L</v>
      </c>
      <c r="Y108" s="309"/>
      <c r="Z108" s="310">
        <f>(R108+S108+T108)*'1.0-Contractblad'!$L$37</f>
        <v>1002.7872808476579</v>
      </c>
      <c r="AA108" s="310">
        <f ca="1">VLOOKUP(E108,'1.2-Jaarprijzen'!$B$51:$Q$88,16,FALSE)*K108</f>
        <v>0</v>
      </c>
      <c r="AC108" s="226">
        <f t="shared" si="33"/>
        <v>10732</v>
      </c>
      <c r="AD108" s="226" t="str">
        <f t="shared" si="34"/>
        <v>7200-200</v>
      </c>
    </row>
    <row r="109" spans="2:30" ht="12.5">
      <c r="B109" s="336"/>
      <c r="C109" s="337"/>
      <c r="D109" s="302">
        <f>VLOOKUP(E109,'1.2-Jaarprijzen'!B:G,6,FALSE)</f>
        <v>1</v>
      </c>
      <c r="E109" s="522" t="s">
        <v>82</v>
      </c>
      <c r="F109" s="302" t="s">
        <v>201</v>
      </c>
      <c r="G109" s="525" t="s">
        <v>333</v>
      </c>
      <c r="H109" s="523" t="s">
        <v>328</v>
      </c>
      <c r="I109" s="303" t="str">
        <f t="shared" si="29"/>
        <v>leslokaal/leerplein</v>
      </c>
      <c r="J109" s="302" t="s">
        <v>229</v>
      </c>
      <c r="K109" s="304">
        <v>52.68</v>
      </c>
      <c r="L109" s="304"/>
      <c r="M109" s="305">
        <v>7200</v>
      </c>
      <c r="N109" s="302"/>
      <c r="O109" s="306">
        <f t="shared" si="18"/>
        <v>200</v>
      </c>
      <c r="P109" s="472">
        <v>1</v>
      </c>
      <c r="Q109" s="472">
        <v>1</v>
      </c>
      <c r="R109" s="300">
        <f t="shared" si="19"/>
        <v>27.555692307692308</v>
      </c>
      <c r="S109" s="300">
        <f t="shared" si="20"/>
        <v>4.8627692307692314</v>
      </c>
      <c r="T109" s="300">
        <f t="shared" si="21"/>
        <v>0</v>
      </c>
      <c r="U109" s="307">
        <f t="shared" si="30"/>
        <v>0.52307692307692311</v>
      </c>
      <c r="V109" s="307">
        <f t="shared" si="31"/>
        <v>9.2307692307692313E-2</v>
      </c>
      <c r="W109" s="307">
        <f t="shared" si="32"/>
        <v>0</v>
      </c>
      <c r="X109" s="308" t="str">
        <f t="shared" si="22"/>
        <v>L</v>
      </c>
      <c r="Y109" s="309"/>
      <c r="Z109" s="310">
        <f>(R109+S109+T109)*'1.0-Contractblad'!$L$37</f>
        <v>984.47323807407065</v>
      </c>
      <c r="AA109" s="310">
        <f ca="1">VLOOKUP(E109,'1.2-Jaarprijzen'!$B$51:$Q$88,16,FALSE)*K109</f>
        <v>0</v>
      </c>
      <c r="AC109" s="226">
        <f t="shared" si="33"/>
        <v>10536</v>
      </c>
      <c r="AD109" s="226" t="str">
        <f t="shared" si="34"/>
        <v>7200-200</v>
      </c>
    </row>
    <row r="110" spans="2:30" ht="12.5">
      <c r="B110" s="336"/>
      <c r="C110" s="337"/>
      <c r="D110" s="302">
        <f>VLOOKUP(E110,'1.2-Jaarprijzen'!B:G,6,FALSE)</f>
        <v>1</v>
      </c>
      <c r="E110" s="522" t="s">
        <v>82</v>
      </c>
      <c r="F110" s="302" t="s">
        <v>201</v>
      </c>
      <c r="G110" s="525" t="s">
        <v>334</v>
      </c>
      <c r="H110" s="523" t="s">
        <v>317</v>
      </c>
      <c r="I110" s="303" t="str">
        <f t="shared" si="29"/>
        <v>niet van toepassing</v>
      </c>
      <c r="J110" s="302" t="s">
        <v>229</v>
      </c>
      <c r="K110" s="304"/>
      <c r="L110" s="304">
        <v>24.39</v>
      </c>
      <c r="M110" s="305" t="s">
        <v>147</v>
      </c>
      <c r="N110" s="302"/>
      <c r="O110" s="306">
        <f t="shared" si="18"/>
        <v>0</v>
      </c>
      <c r="P110" s="472">
        <v>1</v>
      </c>
      <c r="Q110" s="472">
        <v>1</v>
      </c>
      <c r="R110" s="300">
        <f t="shared" si="19"/>
        <v>0</v>
      </c>
      <c r="S110" s="300">
        <f t="shared" si="20"/>
        <v>0</v>
      </c>
      <c r="T110" s="300">
        <f t="shared" si="21"/>
        <v>0</v>
      </c>
      <c r="U110" s="307">
        <f t="shared" si="30"/>
        <v>0</v>
      </c>
      <c r="V110" s="307">
        <f t="shared" si="31"/>
        <v>0</v>
      </c>
      <c r="W110" s="307">
        <f t="shared" si="32"/>
        <v>0</v>
      </c>
      <c r="X110" s="308">
        <f t="shared" si="22"/>
        <v>0</v>
      </c>
      <c r="Y110" s="309" t="s">
        <v>335</v>
      </c>
      <c r="Z110" s="310">
        <f>(R110+S110+T110)*'1.0-Contractblad'!$L$37</f>
        <v>0</v>
      </c>
      <c r="AA110" s="310">
        <f ca="1">VLOOKUP(E110,'1.2-Jaarprijzen'!$B$51:$Q$88,16,FALSE)*K110</f>
        <v>0</v>
      </c>
      <c r="AC110" s="226">
        <f t="shared" si="33"/>
        <v>0</v>
      </c>
      <c r="AD110" s="226" t="str">
        <f t="shared" si="34"/>
        <v>nvt-0</v>
      </c>
    </row>
    <row r="111" spans="2:30" ht="12.5">
      <c r="B111" s="336"/>
      <c r="C111" s="337"/>
      <c r="D111" s="302">
        <f>VLOOKUP(E111,'1.2-Jaarprijzen'!B:G,6,FALSE)</f>
        <v>1</v>
      </c>
      <c r="E111" s="522" t="s">
        <v>82</v>
      </c>
      <c r="F111" s="302" t="s">
        <v>201</v>
      </c>
      <c r="G111" s="525" t="s">
        <v>336</v>
      </c>
      <c r="H111" s="523" t="s">
        <v>337</v>
      </c>
      <c r="I111" s="303" t="str">
        <f t="shared" si="29"/>
        <v>sanitaire ruimte (toilet-/doucheruimte)</v>
      </c>
      <c r="J111" s="302" t="s">
        <v>229</v>
      </c>
      <c r="K111" s="304">
        <v>2.1</v>
      </c>
      <c r="L111" s="304"/>
      <c r="M111" s="305">
        <v>4200</v>
      </c>
      <c r="N111" s="302"/>
      <c r="O111" s="306">
        <f t="shared" ref="O111:O179" si="35">VLOOKUP(M111,Kengetal,3,FALSE)+VLOOKUP(N111,Kengetal,3,FALSE)</f>
        <v>200</v>
      </c>
      <c r="P111" s="472">
        <v>1</v>
      </c>
      <c r="Q111" s="472">
        <v>1</v>
      </c>
      <c r="R111" s="300">
        <f t="shared" ref="R111:R179" si="36">U111*K111*P111</f>
        <v>5.6282516159545954</v>
      </c>
      <c r="S111" s="300">
        <f t="shared" ref="S111:S179" si="37">V111*K111*Q111</f>
        <v>0.9932208734037522</v>
      </c>
      <c r="T111" s="300">
        <f t="shared" ref="T111:T179" si="38">W111*K111*P111</f>
        <v>0</v>
      </c>
      <c r="U111" s="307">
        <f t="shared" si="30"/>
        <v>2.6801198171212359</v>
      </c>
      <c r="V111" s="307">
        <f t="shared" si="31"/>
        <v>0.4729623206684534</v>
      </c>
      <c r="W111" s="307">
        <f t="shared" si="32"/>
        <v>0</v>
      </c>
      <c r="X111" s="308" t="str">
        <f t="shared" ref="X111:X179" si="39">IF(M111="","",VLOOKUP(M111,Kengetal,13,FALSE))</f>
        <v>S</v>
      </c>
      <c r="Y111" s="309"/>
      <c r="Z111" s="310">
        <f>(R111+S111+T111)*'1.0-Contractblad'!$L$37</f>
        <v>201.07871111290066</v>
      </c>
      <c r="AA111" s="310">
        <f ca="1">VLOOKUP(E111,'1.2-Jaarprijzen'!$B$51:$Q$88,16,FALSE)*K111</f>
        <v>0</v>
      </c>
      <c r="AC111" s="226">
        <f t="shared" si="33"/>
        <v>420</v>
      </c>
      <c r="AD111" s="226" t="str">
        <f t="shared" si="34"/>
        <v>4200-200</v>
      </c>
    </row>
    <row r="112" spans="2:30" ht="12.5">
      <c r="B112" s="336"/>
      <c r="C112" s="337"/>
      <c r="D112" s="302">
        <f>VLOOKUP(E112,'1.2-Jaarprijzen'!B:G,6,FALSE)</f>
        <v>1</v>
      </c>
      <c r="E112" s="522" t="s">
        <v>82</v>
      </c>
      <c r="F112" s="302" t="s">
        <v>201</v>
      </c>
      <c r="G112" s="525" t="s">
        <v>338</v>
      </c>
      <c r="H112" s="523" t="s">
        <v>207</v>
      </c>
      <c r="I112" s="303" t="str">
        <f t="shared" si="29"/>
        <v>niet van toepassing</v>
      </c>
      <c r="J112" s="302" t="s">
        <v>229</v>
      </c>
      <c r="K112" s="304"/>
      <c r="L112" s="304">
        <v>10.31</v>
      </c>
      <c r="M112" s="305" t="s">
        <v>147</v>
      </c>
      <c r="N112" s="302"/>
      <c r="O112" s="306">
        <f t="shared" si="35"/>
        <v>0</v>
      </c>
      <c r="P112" s="472">
        <v>1</v>
      </c>
      <c r="Q112" s="472">
        <v>1</v>
      </c>
      <c r="R112" s="300">
        <f t="shared" si="36"/>
        <v>0</v>
      </c>
      <c r="S112" s="300">
        <f t="shared" si="37"/>
        <v>0</v>
      </c>
      <c r="T112" s="300">
        <f t="shared" si="38"/>
        <v>0</v>
      </c>
      <c r="U112" s="307">
        <f t="shared" si="30"/>
        <v>0</v>
      </c>
      <c r="V112" s="307">
        <f t="shared" si="31"/>
        <v>0</v>
      </c>
      <c r="W112" s="307">
        <f t="shared" si="32"/>
        <v>0</v>
      </c>
      <c r="X112" s="308">
        <f t="shared" si="39"/>
        <v>0</v>
      </c>
      <c r="Y112" s="309"/>
      <c r="Z112" s="310">
        <f>(R112+S112+T112)*'1.0-Contractblad'!$L$37</f>
        <v>0</v>
      </c>
      <c r="AA112" s="310">
        <f ca="1">VLOOKUP(E112,'1.2-Jaarprijzen'!$B$51:$Q$88,16,FALSE)*K112</f>
        <v>0</v>
      </c>
      <c r="AC112" s="226">
        <f t="shared" si="33"/>
        <v>0</v>
      </c>
      <c r="AD112" s="226" t="str">
        <f t="shared" si="34"/>
        <v>nvt-0</v>
      </c>
    </row>
    <row r="113" spans="1:30" ht="12.5">
      <c r="B113" s="336"/>
      <c r="C113" s="337"/>
      <c r="D113" s="302">
        <f>VLOOKUP(E113,'1.2-Jaarprijzen'!B:G,6,FALSE)</f>
        <v>1</v>
      </c>
      <c r="E113" s="522" t="s">
        <v>82</v>
      </c>
      <c r="F113" s="302" t="s">
        <v>201</v>
      </c>
      <c r="G113" s="525" t="s">
        <v>339</v>
      </c>
      <c r="H113" s="523" t="s">
        <v>268</v>
      </c>
      <c r="I113" s="303" t="str">
        <f t="shared" si="29"/>
        <v>administratieve -, personeels- en vergaderruimte</v>
      </c>
      <c r="J113" s="302" t="s">
        <v>229</v>
      </c>
      <c r="K113" s="304">
        <v>11.3</v>
      </c>
      <c r="L113" s="304"/>
      <c r="M113" s="305">
        <v>1080</v>
      </c>
      <c r="N113" s="302"/>
      <c r="O113" s="306">
        <f t="shared" si="35"/>
        <v>80</v>
      </c>
      <c r="P113" s="472">
        <v>1</v>
      </c>
      <c r="Q113" s="472">
        <v>1</v>
      </c>
      <c r="R113" s="300">
        <f t="shared" si="36"/>
        <v>2.3643076923076927</v>
      </c>
      <c r="S113" s="300">
        <f t="shared" si="37"/>
        <v>0.41723076923076929</v>
      </c>
      <c r="T113" s="300">
        <f t="shared" si="38"/>
        <v>0</v>
      </c>
      <c r="U113" s="307">
        <f t="shared" si="30"/>
        <v>0.20923076923076925</v>
      </c>
      <c r="V113" s="307">
        <f t="shared" si="31"/>
        <v>3.6923076923076927E-2</v>
      </c>
      <c r="W113" s="307">
        <f t="shared" si="32"/>
        <v>0</v>
      </c>
      <c r="X113" s="308" t="str">
        <f t="shared" si="39"/>
        <v>V</v>
      </c>
      <c r="Y113" s="309"/>
      <c r="Z113" s="310">
        <f>(R113+S113+T113)*'1.0-Contractblad'!$L$37</f>
        <v>84.468850343485173</v>
      </c>
      <c r="AA113" s="310">
        <f ca="1">VLOOKUP(E113,'1.2-Jaarprijzen'!$B$51:$Q$88,16,FALSE)*K113</f>
        <v>0</v>
      </c>
      <c r="AC113" s="226">
        <f t="shared" si="33"/>
        <v>904</v>
      </c>
      <c r="AD113" s="226" t="str">
        <f t="shared" si="34"/>
        <v>1080-80</v>
      </c>
    </row>
    <row r="114" spans="1:30" ht="16" customHeight="1">
      <c r="A114" s="276"/>
      <c r="B114" s="336"/>
      <c r="C114" s="337"/>
      <c r="D114" s="302">
        <f>VLOOKUP(E114,'1.2-Jaarprijzen'!B:G,6,FALSE)</f>
        <v>1</v>
      </c>
      <c r="E114" s="522" t="s">
        <v>82</v>
      </c>
      <c r="F114" s="302" t="s">
        <v>201</v>
      </c>
      <c r="G114" s="525" t="s">
        <v>340</v>
      </c>
      <c r="H114" s="523" t="s">
        <v>341</v>
      </c>
      <c r="I114" s="303" t="str">
        <f t="shared" si="29"/>
        <v>leslokaal/leerplein</v>
      </c>
      <c r="J114" s="302" t="s">
        <v>229</v>
      </c>
      <c r="K114" s="304">
        <v>17.41</v>
      </c>
      <c r="L114" s="304"/>
      <c r="M114" s="305">
        <v>7200</v>
      </c>
      <c r="N114" s="302"/>
      <c r="O114" s="306">
        <f t="shared" si="35"/>
        <v>200</v>
      </c>
      <c r="P114" s="472">
        <v>1</v>
      </c>
      <c r="Q114" s="472">
        <v>1</v>
      </c>
      <c r="R114" s="300">
        <f t="shared" si="36"/>
        <v>9.1067692307692312</v>
      </c>
      <c r="S114" s="300">
        <f t="shared" si="37"/>
        <v>1.6070769230769231</v>
      </c>
      <c r="T114" s="300">
        <f t="shared" si="38"/>
        <v>0</v>
      </c>
      <c r="U114" s="307">
        <f t="shared" si="30"/>
        <v>0.52307692307692311</v>
      </c>
      <c r="V114" s="307">
        <f t="shared" si="31"/>
        <v>9.2307692307692313E-2</v>
      </c>
      <c r="W114" s="307">
        <f t="shared" si="32"/>
        <v>0</v>
      </c>
      <c r="X114" s="308" t="str">
        <f t="shared" si="39"/>
        <v>L</v>
      </c>
      <c r="Y114" s="309"/>
      <c r="Z114" s="310">
        <f>(R114+S114+T114)*'1.0-Contractblad'!$L$37</f>
        <v>325.35457621240636</v>
      </c>
      <c r="AA114" s="310">
        <f ca="1">VLOOKUP(E114,'1.2-Jaarprijzen'!$B$51:$Q$88,16,FALSE)*K114</f>
        <v>0</v>
      </c>
      <c r="AC114" s="226">
        <f t="shared" si="33"/>
        <v>3482</v>
      </c>
      <c r="AD114" s="226" t="str">
        <f t="shared" si="34"/>
        <v>7200-200</v>
      </c>
    </row>
    <row r="115" spans="1:30" ht="16" customHeight="1">
      <c r="A115" s="276"/>
      <c r="B115" s="336"/>
      <c r="C115" s="337"/>
      <c r="D115" s="302">
        <f>VLOOKUP(E115,'1.2-Jaarprijzen'!B:G,6,FALSE)</f>
        <v>1</v>
      </c>
      <c r="E115" s="522" t="s">
        <v>82</v>
      </c>
      <c r="F115" s="302" t="s">
        <v>201</v>
      </c>
      <c r="G115" s="525" t="s">
        <v>342</v>
      </c>
      <c r="H115" s="523" t="s">
        <v>323</v>
      </c>
      <c r="I115" s="303" t="str">
        <f t="shared" si="29"/>
        <v>entree, gang, hal, repro, kopieer, was/droogruimte</v>
      </c>
      <c r="J115" s="302" t="s">
        <v>229</v>
      </c>
      <c r="K115" s="304">
        <v>7.39</v>
      </c>
      <c r="L115" s="304"/>
      <c r="M115" s="305">
        <v>3200</v>
      </c>
      <c r="N115" s="302"/>
      <c r="O115" s="306">
        <f t="shared" si="35"/>
        <v>200</v>
      </c>
      <c r="P115" s="472">
        <v>1</v>
      </c>
      <c r="Q115" s="472">
        <v>1</v>
      </c>
      <c r="R115" s="300">
        <f t="shared" si="36"/>
        <v>2.7815060862175556</v>
      </c>
      <c r="S115" s="300">
        <f t="shared" si="37"/>
        <v>0.8389868901362737</v>
      </c>
      <c r="T115" s="300">
        <f t="shared" si="38"/>
        <v>0</v>
      </c>
      <c r="U115" s="307">
        <f t="shared" si="30"/>
        <v>0.37638783304703055</v>
      </c>
      <c r="V115" s="307">
        <f t="shared" si="31"/>
        <v>0.11353002572885977</v>
      </c>
      <c r="W115" s="307">
        <f t="shared" si="32"/>
        <v>0</v>
      </c>
      <c r="X115" s="308" t="str">
        <f t="shared" si="39"/>
        <v>V</v>
      </c>
      <c r="Y115" s="309"/>
      <c r="Z115" s="310">
        <f>(R115+S115+T115)*'1.0-Contractblad'!$L$37</f>
        <v>109.94594668308962</v>
      </c>
      <c r="AA115" s="310">
        <f ca="1">VLOOKUP(E115,'1.2-Jaarprijzen'!$B$51:$Q$88,16,FALSE)*K115</f>
        <v>0</v>
      </c>
      <c r="AC115" s="226">
        <f t="shared" si="33"/>
        <v>1478</v>
      </c>
      <c r="AD115" s="226" t="str">
        <f t="shared" si="34"/>
        <v>3200-200</v>
      </c>
    </row>
    <row r="116" spans="1:30" ht="16" customHeight="1">
      <c r="A116" s="276"/>
      <c r="B116" s="336"/>
      <c r="C116" s="337"/>
      <c r="D116" s="302">
        <f>VLOOKUP(E116,'1.2-Jaarprijzen'!B:G,6,FALSE)</f>
        <v>1</v>
      </c>
      <c r="E116" s="522" t="s">
        <v>82</v>
      </c>
      <c r="F116" s="302" t="s">
        <v>201</v>
      </c>
      <c r="G116" s="525" t="s">
        <v>343</v>
      </c>
      <c r="H116" s="523" t="s">
        <v>344</v>
      </c>
      <c r="I116" s="303" t="str">
        <f t="shared" si="29"/>
        <v>niet van toepassing</v>
      </c>
      <c r="J116" s="302" t="s">
        <v>229</v>
      </c>
      <c r="K116" s="304"/>
      <c r="L116" s="304">
        <v>13.3</v>
      </c>
      <c r="M116" s="305" t="s">
        <v>147</v>
      </c>
      <c r="N116" s="302"/>
      <c r="O116" s="306">
        <f t="shared" si="35"/>
        <v>0</v>
      </c>
      <c r="P116" s="472">
        <v>1</v>
      </c>
      <c r="Q116" s="472">
        <v>1</v>
      </c>
      <c r="R116" s="300">
        <f t="shared" si="36"/>
        <v>0</v>
      </c>
      <c r="S116" s="300">
        <f t="shared" si="37"/>
        <v>0</v>
      </c>
      <c r="T116" s="300">
        <f t="shared" si="38"/>
        <v>0</v>
      </c>
      <c r="U116" s="307">
        <f t="shared" si="30"/>
        <v>0</v>
      </c>
      <c r="V116" s="307">
        <f t="shared" si="31"/>
        <v>0</v>
      </c>
      <c r="W116" s="307">
        <f t="shared" si="32"/>
        <v>0</v>
      </c>
      <c r="X116" s="308">
        <f t="shared" si="39"/>
        <v>0</v>
      </c>
      <c r="Y116" s="309"/>
      <c r="Z116" s="310">
        <f>(R116+S116+T116)*'1.0-Contractblad'!$L$37</f>
        <v>0</v>
      </c>
      <c r="AA116" s="310">
        <f ca="1">VLOOKUP(E116,'1.2-Jaarprijzen'!$B$51:$Q$88,16,FALSE)*K116</f>
        <v>0</v>
      </c>
      <c r="AC116" s="226">
        <f t="shared" si="33"/>
        <v>0</v>
      </c>
      <c r="AD116" s="226" t="str">
        <f t="shared" si="34"/>
        <v>nvt-0</v>
      </c>
    </row>
    <row r="117" spans="1:30" ht="16" customHeight="1">
      <c r="A117" s="276"/>
      <c r="B117" s="336"/>
      <c r="C117" s="337"/>
      <c r="D117" s="302">
        <f>VLOOKUP(E117,'1.2-Jaarprijzen'!B:G,6,FALSE)</f>
        <v>1</v>
      </c>
      <c r="E117" s="522" t="s">
        <v>82</v>
      </c>
      <c r="F117" s="302" t="s">
        <v>201</v>
      </c>
      <c r="G117" s="525" t="s">
        <v>345</v>
      </c>
      <c r="H117" s="523" t="s">
        <v>210</v>
      </c>
      <c r="I117" s="303" t="str">
        <f t="shared" si="29"/>
        <v>aula, gemeenschappelijke ruimte, bibliotheek</v>
      </c>
      <c r="J117" s="302" t="s">
        <v>229</v>
      </c>
      <c r="K117" s="304">
        <v>47.25</v>
      </c>
      <c r="L117" s="304"/>
      <c r="M117" s="305">
        <v>2200</v>
      </c>
      <c r="N117" s="302"/>
      <c r="O117" s="306">
        <f t="shared" si="35"/>
        <v>200</v>
      </c>
      <c r="P117" s="472">
        <v>1</v>
      </c>
      <c r="Q117" s="472">
        <v>1</v>
      </c>
      <c r="R117" s="300">
        <f t="shared" si="36"/>
        <v>18.074286933941849</v>
      </c>
      <c r="S117" s="300">
        <f t="shared" si="37"/>
        <v>5.1709858340421864</v>
      </c>
      <c r="T117" s="300">
        <f t="shared" si="38"/>
        <v>0</v>
      </c>
      <c r="U117" s="307">
        <f t="shared" si="30"/>
        <v>0.38252459119453652</v>
      </c>
      <c r="V117" s="307">
        <f t="shared" si="31"/>
        <v>0.10943885363052247</v>
      </c>
      <c r="W117" s="307">
        <f t="shared" si="32"/>
        <v>0</v>
      </c>
      <c r="X117" s="308" t="str">
        <f t="shared" si="39"/>
        <v>V</v>
      </c>
      <c r="Y117" s="309"/>
      <c r="Z117" s="310">
        <f>(R117+S117+T117)*'1.0-Contractblad'!$L$37</f>
        <v>705.90484143308481</v>
      </c>
      <c r="AA117" s="310">
        <f ca="1">VLOOKUP(E117,'1.2-Jaarprijzen'!$B$51:$Q$88,16,FALSE)*K117</f>
        <v>0</v>
      </c>
      <c r="AC117" s="226">
        <f t="shared" si="33"/>
        <v>9450</v>
      </c>
      <c r="AD117" s="226" t="str">
        <f t="shared" si="34"/>
        <v>2200-200</v>
      </c>
    </row>
    <row r="118" spans="1:30" ht="12.5">
      <c r="B118" s="336"/>
      <c r="C118" s="337"/>
      <c r="D118" s="302">
        <f>VLOOKUP(E118,'1.2-Jaarprijzen'!B:G,6,FALSE)</f>
        <v>1</v>
      </c>
      <c r="E118" s="522" t="s">
        <v>82</v>
      </c>
      <c r="F118" s="302" t="s">
        <v>201</v>
      </c>
      <c r="G118" s="525" t="s">
        <v>346</v>
      </c>
      <c r="H118" s="523" t="s">
        <v>347</v>
      </c>
      <c r="I118" s="303" t="str">
        <f t="shared" si="29"/>
        <v>speellokaal</v>
      </c>
      <c r="J118" s="302" t="s">
        <v>229</v>
      </c>
      <c r="K118" s="304">
        <v>81.95</v>
      </c>
      <c r="L118" s="304"/>
      <c r="M118" s="305">
        <v>8200</v>
      </c>
      <c r="N118" s="302"/>
      <c r="O118" s="306">
        <f t="shared" si="35"/>
        <v>200</v>
      </c>
      <c r="P118" s="472">
        <v>1</v>
      </c>
      <c r="Q118" s="472">
        <v>1</v>
      </c>
      <c r="R118" s="300">
        <f t="shared" si="36"/>
        <v>47.039299999999997</v>
      </c>
      <c r="S118" s="300">
        <f t="shared" si="37"/>
        <v>5.9510700738926499</v>
      </c>
      <c r="T118" s="300">
        <f t="shared" si="38"/>
        <v>0</v>
      </c>
      <c r="U118" s="307">
        <f t="shared" si="30"/>
        <v>0.57399999999999995</v>
      </c>
      <c r="V118" s="307">
        <f t="shared" si="31"/>
        <v>7.2618304745486875E-2</v>
      </c>
      <c r="W118" s="307">
        <f t="shared" si="32"/>
        <v>0</v>
      </c>
      <c r="X118" s="308" t="str">
        <f t="shared" si="39"/>
        <v>L</v>
      </c>
      <c r="Y118" s="309"/>
      <c r="Z118" s="310">
        <f>(R118+S118+T118)*'1.0-Contractblad'!$L$37</f>
        <v>1609.1942287728964</v>
      </c>
      <c r="AA118" s="310">
        <f ca="1">VLOOKUP(E118,'1.2-Jaarprijzen'!$B$51:$Q$88,16,FALSE)*K118</f>
        <v>0</v>
      </c>
      <c r="AC118" s="226">
        <f t="shared" si="33"/>
        <v>16390</v>
      </c>
      <c r="AD118" s="226" t="str">
        <f t="shared" si="34"/>
        <v>8200-200</v>
      </c>
    </row>
    <row r="119" spans="1:30" ht="12.5">
      <c r="B119" s="336"/>
      <c r="C119" s="337"/>
      <c r="D119" s="302">
        <f>VLOOKUP(E119,'1.2-Jaarprijzen'!B:G,6,FALSE)</f>
        <v>1</v>
      </c>
      <c r="E119" s="522" t="s">
        <v>82</v>
      </c>
      <c r="F119" s="302" t="s">
        <v>201</v>
      </c>
      <c r="G119" s="525" t="s">
        <v>348</v>
      </c>
      <c r="H119" s="523" t="s">
        <v>349</v>
      </c>
      <c r="I119" s="303" t="str">
        <f t="shared" si="28"/>
        <v>niet van toepassing</v>
      </c>
      <c r="J119" s="302" t="s">
        <v>229</v>
      </c>
      <c r="K119" s="304"/>
      <c r="L119" s="304">
        <v>8.36</v>
      </c>
      <c r="M119" s="305" t="s">
        <v>147</v>
      </c>
      <c r="N119" s="302"/>
      <c r="O119" s="306">
        <f t="shared" si="35"/>
        <v>0</v>
      </c>
      <c r="P119" s="472">
        <v>1</v>
      </c>
      <c r="Q119" s="472">
        <v>1</v>
      </c>
      <c r="R119" s="300">
        <f t="shared" si="36"/>
        <v>0</v>
      </c>
      <c r="S119" s="300">
        <f t="shared" si="37"/>
        <v>0</v>
      </c>
      <c r="T119" s="300">
        <f t="shared" si="38"/>
        <v>0</v>
      </c>
      <c r="U119" s="307">
        <f t="shared" si="30"/>
        <v>0</v>
      </c>
      <c r="V119" s="307">
        <f t="shared" si="31"/>
        <v>0</v>
      </c>
      <c r="W119" s="307">
        <f t="shared" si="32"/>
        <v>0</v>
      </c>
      <c r="X119" s="308">
        <f t="shared" si="39"/>
        <v>0</v>
      </c>
      <c r="Y119" s="309"/>
      <c r="Z119" s="310">
        <f>(R119+S119+T119)*'1.0-Contractblad'!$L$37</f>
        <v>0</v>
      </c>
      <c r="AA119" s="310">
        <f ca="1">VLOOKUP(E119,'1.2-Jaarprijzen'!$B$51:$Q$88,16,FALSE)*K119</f>
        <v>0</v>
      </c>
      <c r="AC119" s="226">
        <f t="shared" si="33"/>
        <v>0</v>
      </c>
      <c r="AD119" s="226" t="str">
        <f t="shared" si="34"/>
        <v>nvt-0</v>
      </c>
    </row>
    <row r="120" spans="1:30" ht="12.5">
      <c r="B120" s="336"/>
      <c r="C120" s="337"/>
      <c r="D120" s="302">
        <f>VLOOKUP(E120,'1.2-Jaarprijzen'!B:G,6,FALSE)</f>
        <v>1</v>
      </c>
      <c r="E120" s="522" t="s">
        <v>82</v>
      </c>
      <c r="F120" s="302" t="s">
        <v>201</v>
      </c>
      <c r="G120" s="525" t="s">
        <v>350</v>
      </c>
      <c r="H120" s="523" t="s">
        <v>329</v>
      </c>
      <c r="I120" s="303" t="str">
        <f t="shared" si="28"/>
        <v>sanitaire ruimte (toilet-/doucheruimte)</v>
      </c>
      <c r="J120" s="302" t="s">
        <v>229</v>
      </c>
      <c r="K120" s="304">
        <v>3.9439999999999995</v>
      </c>
      <c r="L120" s="304"/>
      <c r="M120" s="305">
        <v>4200</v>
      </c>
      <c r="N120" s="302"/>
      <c r="O120" s="306">
        <f t="shared" ref="O120" si="40">VLOOKUP(M120,Kengetal,3,FALSE)+VLOOKUP(N120,Kengetal,3,FALSE)</f>
        <v>200</v>
      </c>
      <c r="P120" s="472">
        <v>1</v>
      </c>
      <c r="Q120" s="472">
        <v>1</v>
      </c>
      <c r="R120" s="300">
        <f t="shared" ref="R120" si="41">U120*K120*P120</f>
        <v>10.570392558726153</v>
      </c>
      <c r="S120" s="300">
        <f t="shared" ref="S120" si="42">V120*K120*Q120</f>
        <v>1.86536339271638</v>
      </c>
      <c r="T120" s="300">
        <f t="shared" ref="T120" si="43">W120*K120*P120</f>
        <v>0</v>
      </c>
      <c r="U120" s="307">
        <f t="shared" si="30"/>
        <v>2.6801198171212359</v>
      </c>
      <c r="V120" s="307">
        <f t="shared" si="31"/>
        <v>0.4729623206684534</v>
      </c>
      <c r="W120" s="307">
        <f t="shared" si="32"/>
        <v>0</v>
      </c>
      <c r="X120" s="308" t="str">
        <f t="shared" ref="X120" si="44">IF(M120="","",VLOOKUP(M120,Kengetal,13,FALSE))</f>
        <v>S</v>
      </c>
      <c r="Y120" s="309"/>
      <c r="Z120" s="310">
        <f>(R120+S120+T120)*'1.0-Contractblad'!$L$37</f>
        <v>377.64496982346674</v>
      </c>
      <c r="AA120" s="310">
        <f ca="1">VLOOKUP(E120,'1.2-Jaarprijzen'!$B$51:$Q$88,16,FALSE)*K120</f>
        <v>0</v>
      </c>
      <c r="AC120" s="226">
        <f t="shared" si="33"/>
        <v>788.8</v>
      </c>
      <c r="AD120" s="226" t="str">
        <f t="shared" si="34"/>
        <v>4200-200</v>
      </c>
    </row>
    <row r="121" spans="1:30" ht="12.5">
      <c r="B121" s="336"/>
      <c r="C121" s="337"/>
      <c r="D121" s="302">
        <f>VLOOKUP(E121,'1.2-Jaarprijzen'!B:G,6,FALSE)</f>
        <v>1</v>
      </c>
      <c r="E121" s="522" t="s">
        <v>82</v>
      </c>
      <c r="F121" s="302" t="s">
        <v>201</v>
      </c>
      <c r="G121" s="525" t="s">
        <v>351</v>
      </c>
      <c r="H121" s="523" t="s">
        <v>220</v>
      </c>
      <c r="I121" s="303" t="str">
        <f t="shared" si="28"/>
        <v>sanitaire ruimte (toilet-/doucheruimte)</v>
      </c>
      <c r="J121" s="302" t="s">
        <v>229</v>
      </c>
      <c r="K121" s="304">
        <v>1.1639999999999999</v>
      </c>
      <c r="L121" s="304"/>
      <c r="M121" s="305">
        <v>4200</v>
      </c>
      <c r="N121" s="302"/>
      <c r="O121" s="306">
        <f t="shared" si="35"/>
        <v>200</v>
      </c>
      <c r="P121" s="472">
        <v>1</v>
      </c>
      <c r="Q121" s="472">
        <v>1</v>
      </c>
      <c r="R121" s="300">
        <f t="shared" si="36"/>
        <v>3.1196594671291185</v>
      </c>
      <c r="S121" s="300">
        <f t="shared" si="37"/>
        <v>0.5505281412580797</v>
      </c>
      <c r="T121" s="300">
        <f t="shared" si="38"/>
        <v>0</v>
      </c>
      <c r="U121" s="307">
        <f t="shared" si="30"/>
        <v>2.6801198171212359</v>
      </c>
      <c r="V121" s="307">
        <f t="shared" si="31"/>
        <v>0.4729623206684534</v>
      </c>
      <c r="W121" s="307">
        <f t="shared" si="32"/>
        <v>0</v>
      </c>
      <c r="X121" s="308" t="str">
        <f t="shared" si="39"/>
        <v>S</v>
      </c>
      <c r="Y121" s="309"/>
      <c r="Z121" s="310">
        <f>(R121+S121+T121)*'1.0-Contractblad'!$L$37</f>
        <v>111.45505701686493</v>
      </c>
      <c r="AA121" s="310">
        <f ca="1">VLOOKUP(E121,'1.2-Jaarprijzen'!$B$51:$Q$88,16,FALSE)*K121</f>
        <v>0</v>
      </c>
      <c r="AC121" s="226">
        <f t="shared" si="33"/>
        <v>232.79999999999998</v>
      </c>
      <c r="AD121" s="226" t="str">
        <f t="shared" si="34"/>
        <v>4200-200</v>
      </c>
    </row>
    <row r="122" spans="1:30" ht="12.5">
      <c r="B122" s="336"/>
      <c r="C122" s="337"/>
      <c r="D122" s="302">
        <f>VLOOKUP(E122,'1.2-Jaarprijzen'!B:G,6,FALSE)</f>
        <v>1</v>
      </c>
      <c r="E122" s="522" t="s">
        <v>82</v>
      </c>
      <c r="F122" s="302" t="s">
        <v>201</v>
      </c>
      <c r="G122" s="525" t="s">
        <v>352</v>
      </c>
      <c r="H122" s="523" t="s">
        <v>329</v>
      </c>
      <c r="I122" s="303" t="str">
        <f t="shared" si="28"/>
        <v>sanitaire ruimte (toilet-/doucheruimte)</v>
      </c>
      <c r="J122" s="302" t="s">
        <v>229</v>
      </c>
      <c r="K122" s="304">
        <v>1.6755999999999998</v>
      </c>
      <c r="L122" s="304"/>
      <c r="M122" s="305">
        <v>4200</v>
      </c>
      <c r="N122" s="302"/>
      <c r="O122" s="306">
        <f t="shared" si="35"/>
        <v>200</v>
      </c>
      <c r="P122" s="472">
        <v>1</v>
      </c>
      <c r="Q122" s="472">
        <v>1</v>
      </c>
      <c r="R122" s="300">
        <f t="shared" si="36"/>
        <v>4.4908087655683424</v>
      </c>
      <c r="S122" s="300">
        <f t="shared" si="37"/>
        <v>0.79249566451206044</v>
      </c>
      <c r="T122" s="300">
        <f t="shared" si="38"/>
        <v>0</v>
      </c>
      <c r="U122" s="307">
        <f t="shared" si="30"/>
        <v>2.6801198171212359</v>
      </c>
      <c r="V122" s="307">
        <f t="shared" si="31"/>
        <v>0.4729623206684534</v>
      </c>
      <c r="W122" s="307">
        <f t="shared" si="32"/>
        <v>0</v>
      </c>
      <c r="X122" s="308" t="str">
        <f t="shared" si="39"/>
        <v>S</v>
      </c>
      <c r="Y122" s="309"/>
      <c r="Z122" s="310">
        <f>(R122+S122+T122)*'1.0-Contractblad'!$L$37</f>
        <v>160.44166111465537</v>
      </c>
      <c r="AA122" s="310">
        <f ca="1">VLOOKUP(E122,'1.2-Jaarprijzen'!$B$51:$Q$88,16,FALSE)*K122</f>
        <v>0</v>
      </c>
      <c r="AC122" s="226">
        <f t="shared" si="33"/>
        <v>335.11999999999995</v>
      </c>
      <c r="AD122" s="226" t="str">
        <f t="shared" si="34"/>
        <v>4200-200</v>
      </c>
    </row>
    <row r="123" spans="1:30" ht="12.5">
      <c r="B123" s="336"/>
      <c r="C123" s="337"/>
      <c r="D123" s="302">
        <f>VLOOKUP(E123,'1.2-Jaarprijzen'!B:G,6,FALSE)</f>
        <v>1</v>
      </c>
      <c r="E123" s="522" t="s">
        <v>82</v>
      </c>
      <c r="F123" s="302" t="s">
        <v>201</v>
      </c>
      <c r="G123" s="525" t="s">
        <v>353</v>
      </c>
      <c r="H123" s="523" t="s">
        <v>220</v>
      </c>
      <c r="I123" s="303" t="str">
        <f t="shared" si="28"/>
        <v>sanitaire ruimte (toilet-/doucheruimte)</v>
      </c>
      <c r="J123" s="302" t="s">
        <v>229</v>
      </c>
      <c r="K123" s="304">
        <v>1.1639999999999999</v>
      </c>
      <c r="L123" s="304"/>
      <c r="M123" s="305">
        <v>4200</v>
      </c>
      <c r="N123" s="302"/>
      <c r="O123" s="306">
        <f t="shared" si="35"/>
        <v>200</v>
      </c>
      <c r="P123" s="472">
        <v>1</v>
      </c>
      <c r="Q123" s="472">
        <v>1</v>
      </c>
      <c r="R123" s="300">
        <f t="shared" si="36"/>
        <v>3.1196594671291185</v>
      </c>
      <c r="S123" s="300">
        <f t="shared" si="37"/>
        <v>0.5505281412580797</v>
      </c>
      <c r="T123" s="300">
        <f t="shared" si="38"/>
        <v>0</v>
      </c>
      <c r="U123" s="307">
        <f t="shared" si="30"/>
        <v>2.6801198171212359</v>
      </c>
      <c r="V123" s="307">
        <f t="shared" si="31"/>
        <v>0.4729623206684534</v>
      </c>
      <c r="W123" s="307">
        <f t="shared" si="32"/>
        <v>0</v>
      </c>
      <c r="X123" s="308" t="str">
        <f t="shared" si="39"/>
        <v>S</v>
      </c>
      <c r="Y123" s="309"/>
      <c r="Z123" s="310">
        <f>(R123+S123+T123)*'1.0-Contractblad'!$L$37</f>
        <v>111.45505701686493</v>
      </c>
      <c r="AA123" s="310">
        <f ca="1">VLOOKUP(E123,'1.2-Jaarprijzen'!$B$51:$Q$88,16,FALSE)*K123</f>
        <v>0</v>
      </c>
      <c r="AC123" s="226">
        <f t="shared" si="33"/>
        <v>232.79999999999998</v>
      </c>
      <c r="AD123" s="226" t="str">
        <f t="shared" si="34"/>
        <v>4200-200</v>
      </c>
    </row>
    <row r="124" spans="1:30" ht="12.5">
      <c r="B124" s="336"/>
      <c r="C124" s="337"/>
      <c r="D124" s="302">
        <f>VLOOKUP(E124,'1.2-Jaarprijzen'!B:G,6,FALSE)</f>
        <v>1</v>
      </c>
      <c r="E124" s="522" t="s">
        <v>82</v>
      </c>
      <c r="F124" s="302" t="s">
        <v>201</v>
      </c>
      <c r="G124" s="525" t="s">
        <v>354</v>
      </c>
      <c r="H124" s="523" t="s">
        <v>329</v>
      </c>
      <c r="I124" s="303" t="str">
        <f t="shared" si="28"/>
        <v>sanitaire ruimte (toilet-/doucheruimte)</v>
      </c>
      <c r="J124" s="302" t="s">
        <v>229</v>
      </c>
      <c r="K124" s="304">
        <v>3.2340000000000004</v>
      </c>
      <c r="L124" s="304"/>
      <c r="M124" s="305">
        <v>4200</v>
      </c>
      <c r="N124" s="302"/>
      <c r="O124" s="306">
        <f t="shared" si="35"/>
        <v>200</v>
      </c>
      <c r="P124" s="472">
        <v>1</v>
      </c>
      <c r="Q124" s="472">
        <v>1</v>
      </c>
      <c r="R124" s="300">
        <f t="shared" si="36"/>
        <v>8.6675074885700774</v>
      </c>
      <c r="S124" s="300">
        <f t="shared" si="37"/>
        <v>1.5295601450417784</v>
      </c>
      <c r="T124" s="300">
        <f t="shared" si="38"/>
        <v>0</v>
      </c>
      <c r="U124" s="307">
        <f t="shared" si="30"/>
        <v>2.6801198171212359</v>
      </c>
      <c r="V124" s="307">
        <f t="shared" si="31"/>
        <v>0.4729623206684534</v>
      </c>
      <c r="W124" s="307">
        <f t="shared" si="32"/>
        <v>0</v>
      </c>
      <c r="X124" s="308" t="str">
        <f t="shared" si="39"/>
        <v>S</v>
      </c>
      <c r="Y124" s="309"/>
      <c r="Z124" s="310">
        <f>(R124+S124+T124)*'1.0-Contractblad'!$L$37</f>
        <v>309.661215113867</v>
      </c>
      <c r="AA124" s="310">
        <f ca="1">VLOOKUP(E124,'1.2-Jaarprijzen'!$B$51:$Q$88,16,FALSE)*K124</f>
        <v>0</v>
      </c>
      <c r="AC124" s="226">
        <f t="shared" si="33"/>
        <v>646.80000000000007</v>
      </c>
      <c r="AD124" s="226" t="str">
        <f t="shared" si="34"/>
        <v>4200-200</v>
      </c>
    </row>
    <row r="125" spans="1:30" ht="12.5">
      <c r="B125" s="336"/>
      <c r="C125" s="337"/>
      <c r="D125" s="302">
        <f>VLOOKUP(E125,'1.2-Jaarprijzen'!B:G,6,FALSE)</f>
        <v>1</v>
      </c>
      <c r="E125" s="522" t="s">
        <v>82</v>
      </c>
      <c r="F125" s="302" t="s">
        <v>201</v>
      </c>
      <c r="G125" s="525" t="s">
        <v>355</v>
      </c>
      <c r="H125" s="523" t="s">
        <v>220</v>
      </c>
      <c r="I125" s="303" t="str">
        <f t="shared" si="28"/>
        <v>sanitaire ruimte (toilet-/doucheruimte)</v>
      </c>
      <c r="J125" s="302" t="s">
        <v>229</v>
      </c>
      <c r="K125" s="304">
        <v>1.1304999999999998</v>
      </c>
      <c r="L125" s="304"/>
      <c r="M125" s="305">
        <v>4200</v>
      </c>
      <c r="N125" s="302"/>
      <c r="O125" s="306">
        <f t="shared" si="35"/>
        <v>200</v>
      </c>
      <c r="P125" s="472">
        <v>1</v>
      </c>
      <c r="Q125" s="472">
        <v>1</v>
      </c>
      <c r="R125" s="300">
        <f t="shared" si="36"/>
        <v>3.0298754532555567</v>
      </c>
      <c r="S125" s="300">
        <f t="shared" si="37"/>
        <v>0.53468390351568651</v>
      </c>
      <c r="T125" s="300">
        <f t="shared" si="38"/>
        <v>0</v>
      </c>
      <c r="U125" s="307">
        <f t="shared" si="30"/>
        <v>2.6801198171212359</v>
      </c>
      <c r="V125" s="307">
        <f t="shared" si="31"/>
        <v>0.4729623206684534</v>
      </c>
      <c r="W125" s="307">
        <f t="shared" si="32"/>
        <v>0</v>
      </c>
      <c r="X125" s="308" t="str">
        <f t="shared" si="39"/>
        <v>S</v>
      </c>
      <c r="Y125" s="309"/>
      <c r="Z125" s="310">
        <f>(R125+S125+T125)*'1.0-Contractblad'!$L$37</f>
        <v>108.24737281577816</v>
      </c>
      <c r="AA125" s="310">
        <f ca="1">VLOOKUP(E125,'1.2-Jaarprijzen'!$B$51:$Q$88,16,FALSE)*K125</f>
        <v>0</v>
      </c>
      <c r="AC125" s="226">
        <f t="shared" si="33"/>
        <v>226.09999999999997</v>
      </c>
      <c r="AD125" s="226" t="str">
        <f t="shared" si="34"/>
        <v>4200-200</v>
      </c>
    </row>
    <row r="126" spans="1:30" ht="12.5">
      <c r="B126" s="336"/>
      <c r="C126" s="337"/>
      <c r="D126" s="302">
        <f>VLOOKUP(E126,'1.2-Jaarprijzen'!B:G,6,FALSE)</f>
        <v>1</v>
      </c>
      <c r="E126" s="522" t="s">
        <v>82</v>
      </c>
      <c r="F126" s="302" t="s">
        <v>201</v>
      </c>
      <c r="G126" s="525" t="s">
        <v>356</v>
      </c>
      <c r="H126" s="523" t="s">
        <v>220</v>
      </c>
      <c r="I126" s="303" t="str">
        <f t="shared" si="28"/>
        <v>sanitaire ruimte (toilet-/doucheruimte)</v>
      </c>
      <c r="J126" s="302" t="s">
        <v>229</v>
      </c>
      <c r="K126" s="304">
        <v>1.1304999999999998</v>
      </c>
      <c r="L126" s="304"/>
      <c r="M126" s="305">
        <v>4200</v>
      </c>
      <c r="N126" s="302"/>
      <c r="O126" s="306">
        <f t="shared" si="35"/>
        <v>200</v>
      </c>
      <c r="P126" s="472">
        <v>1</v>
      </c>
      <c r="Q126" s="472">
        <v>1</v>
      </c>
      <c r="R126" s="300">
        <f t="shared" si="36"/>
        <v>3.0298754532555567</v>
      </c>
      <c r="S126" s="300">
        <f t="shared" si="37"/>
        <v>0.53468390351568651</v>
      </c>
      <c r="T126" s="300">
        <f t="shared" si="38"/>
        <v>0</v>
      </c>
      <c r="U126" s="307">
        <f t="shared" si="30"/>
        <v>2.6801198171212359</v>
      </c>
      <c r="V126" s="307">
        <f t="shared" si="31"/>
        <v>0.4729623206684534</v>
      </c>
      <c r="W126" s="307">
        <f t="shared" si="32"/>
        <v>0</v>
      </c>
      <c r="X126" s="308" t="str">
        <f t="shared" si="39"/>
        <v>S</v>
      </c>
      <c r="Y126" s="309"/>
      <c r="Z126" s="310">
        <f>(R126+S126+T126)*'1.0-Contractblad'!$L$37</f>
        <v>108.24737281577816</v>
      </c>
      <c r="AA126" s="310">
        <f ca="1">VLOOKUP(E126,'1.2-Jaarprijzen'!$B$51:$Q$88,16,FALSE)*K126</f>
        <v>0</v>
      </c>
      <c r="AC126" s="226">
        <f t="shared" si="33"/>
        <v>226.09999999999997</v>
      </c>
      <c r="AD126" s="226" t="str">
        <f t="shared" si="34"/>
        <v>4200-200</v>
      </c>
    </row>
    <row r="127" spans="1:30" ht="12.5">
      <c r="B127" s="336"/>
      <c r="C127" s="337"/>
      <c r="D127" s="302">
        <f>VLOOKUP(E127,'1.2-Jaarprijzen'!B:G,6,FALSE)</f>
        <v>1</v>
      </c>
      <c r="E127" s="522" t="s">
        <v>82</v>
      </c>
      <c r="F127" s="302" t="s">
        <v>201</v>
      </c>
      <c r="G127" s="525" t="s">
        <v>357</v>
      </c>
      <c r="H127" s="523" t="s">
        <v>358</v>
      </c>
      <c r="I127" s="303" t="str">
        <f t="shared" si="28"/>
        <v>niet van toepassing</v>
      </c>
      <c r="J127" s="302"/>
      <c r="K127" s="304"/>
      <c r="L127" s="304">
        <v>10.26</v>
      </c>
      <c r="M127" s="305" t="s">
        <v>147</v>
      </c>
      <c r="N127" s="302"/>
      <c r="O127" s="306">
        <f t="shared" si="35"/>
        <v>0</v>
      </c>
      <c r="P127" s="472">
        <v>1</v>
      </c>
      <c r="Q127" s="472">
        <v>1</v>
      </c>
      <c r="R127" s="300">
        <f t="shared" si="36"/>
        <v>0</v>
      </c>
      <c r="S127" s="300">
        <f t="shared" si="37"/>
        <v>0</v>
      </c>
      <c r="T127" s="300">
        <f t="shared" si="38"/>
        <v>0</v>
      </c>
      <c r="U127" s="307">
        <f t="shared" si="30"/>
        <v>0</v>
      </c>
      <c r="V127" s="307">
        <f t="shared" si="31"/>
        <v>0</v>
      </c>
      <c r="W127" s="307">
        <f t="shared" si="32"/>
        <v>0</v>
      </c>
      <c r="X127" s="308">
        <f t="shared" si="39"/>
        <v>0</v>
      </c>
      <c r="Y127" s="309"/>
      <c r="Z127" s="310">
        <f>(R127+S127+T127)*'1.0-Contractblad'!$L$37</f>
        <v>0</v>
      </c>
      <c r="AA127" s="310">
        <f ca="1">VLOOKUP(E127,'1.2-Jaarprijzen'!$B$51:$Q$88,16,FALSE)*K127</f>
        <v>0</v>
      </c>
      <c r="AC127" s="226">
        <f t="shared" si="33"/>
        <v>0</v>
      </c>
      <c r="AD127" s="226" t="str">
        <f t="shared" si="34"/>
        <v>nvt-0</v>
      </c>
    </row>
    <row r="128" spans="1:30" ht="12.5">
      <c r="B128" s="336"/>
      <c r="C128" s="337"/>
      <c r="D128" s="302">
        <f>VLOOKUP(E128,'1.2-Jaarprijzen'!B:G,6,FALSE)</f>
        <v>1</v>
      </c>
      <c r="E128" s="522" t="s">
        <v>82</v>
      </c>
      <c r="F128" s="302" t="s">
        <v>201</v>
      </c>
      <c r="G128" s="525" t="s">
        <v>359</v>
      </c>
      <c r="H128" s="523" t="s">
        <v>360</v>
      </c>
      <c r="I128" s="303" t="str">
        <f t="shared" si="28"/>
        <v>niet van toepassing</v>
      </c>
      <c r="J128" s="302"/>
      <c r="K128" s="304"/>
      <c r="L128" s="304">
        <v>19.510000000000002</v>
      </c>
      <c r="M128" s="305" t="s">
        <v>147</v>
      </c>
      <c r="N128" s="302"/>
      <c r="O128" s="306">
        <f t="shared" si="35"/>
        <v>0</v>
      </c>
      <c r="P128" s="472">
        <v>1</v>
      </c>
      <c r="Q128" s="472">
        <v>1</v>
      </c>
      <c r="R128" s="300">
        <f t="shared" si="36"/>
        <v>0</v>
      </c>
      <c r="S128" s="300">
        <f t="shared" si="37"/>
        <v>0</v>
      </c>
      <c r="T128" s="300">
        <f t="shared" si="38"/>
        <v>0</v>
      </c>
      <c r="U128" s="307">
        <f t="shared" si="30"/>
        <v>0</v>
      </c>
      <c r="V128" s="307">
        <f t="shared" si="31"/>
        <v>0</v>
      </c>
      <c r="W128" s="307">
        <f t="shared" si="32"/>
        <v>0</v>
      </c>
      <c r="X128" s="308">
        <f t="shared" si="39"/>
        <v>0</v>
      </c>
      <c r="Y128" s="309"/>
      <c r="Z128" s="310">
        <f>(R128+S128+T128)*'1.0-Contractblad'!$L$37</f>
        <v>0</v>
      </c>
      <c r="AA128" s="310">
        <f ca="1">VLOOKUP(E128,'1.2-Jaarprijzen'!$B$51:$Q$88,16,FALSE)*K128</f>
        <v>0</v>
      </c>
      <c r="AC128" s="226">
        <f t="shared" si="33"/>
        <v>0</v>
      </c>
      <c r="AD128" s="226" t="str">
        <f t="shared" si="34"/>
        <v>nvt-0</v>
      </c>
    </row>
    <row r="129" spans="2:30" ht="12.5">
      <c r="B129" s="336"/>
      <c r="C129" s="337"/>
      <c r="D129" s="302">
        <f>VLOOKUP(E129,'1.2-Jaarprijzen'!B:G,6,FALSE)</f>
        <v>1</v>
      </c>
      <c r="E129" s="522" t="s">
        <v>82</v>
      </c>
      <c r="F129" s="302" t="s">
        <v>272</v>
      </c>
      <c r="G129" s="525" t="s">
        <v>273</v>
      </c>
      <c r="H129" s="523" t="s">
        <v>277</v>
      </c>
      <c r="I129" s="303" t="str">
        <f t="shared" si="28"/>
        <v>entree, gang, hal, repro, kopieer, was/droogruimte</v>
      </c>
      <c r="J129" s="302" t="s">
        <v>229</v>
      </c>
      <c r="K129" s="304">
        <v>24.189999999999998</v>
      </c>
      <c r="L129" s="304"/>
      <c r="M129" s="305">
        <v>3200</v>
      </c>
      <c r="N129" s="302"/>
      <c r="O129" s="306">
        <f t="shared" si="35"/>
        <v>200</v>
      </c>
      <c r="P129" s="472">
        <v>1</v>
      </c>
      <c r="Q129" s="472">
        <v>1</v>
      </c>
      <c r="R129" s="300">
        <f t="shared" si="36"/>
        <v>9.1048216814076675</v>
      </c>
      <c r="S129" s="300">
        <f t="shared" si="37"/>
        <v>2.7462913223811176</v>
      </c>
      <c r="T129" s="300">
        <f t="shared" si="38"/>
        <v>0</v>
      </c>
      <c r="U129" s="307">
        <f t="shared" si="30"/>
        <v>0.37638783304703055</v>
      </c>
      <c r="V129" s="307">
        <f t="shared" si="31"/>
        <v>0.11353002572885977</v>
      </c>
      <c r="W129" s="307">
        <f t="shared" si="32"/>
        <v>0</v>
      </c>
      <c r="X129" s="308" t="str">
        <f t="shared" si="39"/>
        <v>V</v>
      </c>
      <c r="Y129" s="309"/>
      <c r="Z129" s="310">
        <f>(R129+S129+T129)*'1.0-Contractblad'!$L$37</f>
        <v>359.89072398700102</v>
      </c>
      <c r="AA129" s="310">
        <f ca="1">VLOOKUP(E129,'1.2-Jaarprijzen'!$B$51:$Q$88,16,FALSE)*K129</f>
        <v>0</v>
      </c>
      <c r="AC129" s="226">
        <f t="shared" si="33"/>
        <v>4838</v>
      </c>
      <c r="AD129" s="226" t="str">
        <f t="shared" si="34"/>
        <v>3200-200</v>
      </c>
    </row>
    <row r="130" spans="2:30" ht="12.5">
      <c r="B130" s="336"/>
      <c r="C130" s="337"/>
      <c r="D130" s="302">
        <f>VLOOKUP(E130,'1.2-Jaarprijzen'!B:G,6,FALSE)</f>
        <v>1</v>
      </c>
      <c r="E130" s="522" t="s">
        <v>82</v>
      </c>
      <c r="F130" s="302" t="s">
        <v>272</v>
      </c>
      <c r="G130" s="525" t="s">
        <v>361</v>
      </c>
      <c r="H130" s="523" t="s">
        <v>362</v>
      </c>
      <c r="I130" s="303" t="str">
        <f t="shared" si="28"/>
        <v>trappenhuis</v>
      </c>
      <c r="J130" s="302" t="s">
        <v>208</v>
      </c>
      <c r="K130" s="304">
        <v>12.6</v>
      </c>
      <c r="L130" s="304"/>
      <c r="M130" s="305">
        <v>9200</v>
      </c>
      <c r="N130" s="302"/>
      <c r="O130" s="306">
        <f t="shared" si="35"/>
        <v>200</v>
      </c>
      <c r="P130" s="472">
        <v>1</v>
      </c>
      <c r="Q130" s="472">
        <v>1</v>
      </c>
      <c r="R130" s="300">
        <f t="shared" si="36"/>
        <v>8.8921625557360962</v>
      </c>
      <c r="S130" s="300">
        <f t="shared" si="37"/>
        <v>0.55414926071978576</v>
      </c>
      <c r="T130" s="300">
        <f t="shared" si="38"/>
        <v>0</v>
      </c>
      <c r="U130" s="307">
        <f t="shared" si="30"/>
        <v>0.70572718696318226</v>
      </c>
      <c r="V130" s="307">
        <f t="shared" si="31"/>
        <v>4.3980100057125854E-2</v>
      </c>
      <c r="W130" s="307">
        <f t="shared" si="32"/>
        <v>0</v>
      </c>
      <c r="X130" s="308" t="str">
        <f t="shared" si="39"/>
        <v>V</v>
      </c>
      <c r="Y130" s="309"/>
      <c r="Z130" s="310">
        <f>(R130+S130+T130)*'1.0-Contractblad'!$L$37</f>
        <v>286.86250798084615</v>
      </c>
      <c r="AA130" s="310">
        <f ca="1">VLOOKUP(E130,'1.2-Jaarprijzen'!$B$51:$Q$88,16,FALSE)*K130</f>
        <v>0</v>
      </c>
      <c r="AC130" s="226">
        <f t="shared" si="33"/>
        <v>2520</v>
      </c>
      <c r="AD130" s="226" t="str">
        <f t="shared" si="34"/>
        <v>9200-200</v>
      </c>
    </row>
    <row r="131" spans="2:30" ht="12.5">
      <c r="B131" s="336"/>
      <c r="C131" s="337"/>
      <c r="D131" s="302">
        <f>VLOOKUP(E131,'1.2-Jaarprijzen'!B:G,6,FALSE)</f>
        <v>1</v>
      </c>
      <c r="E131" s="522" t="s">
        <v>82</v>
      </c>
      <c r="F131" s="302" t="s">
        <v>272</v>
      </c>
      <c r="G131" s="525" t="s">
        <v>276</v>
      </c>
      <c r="H131" s="523" t="s">
        <v>247</v>
      </c>
      <c r="I131" s="303" t="str">
        <f t="shared" si="28"/>
        <v>niet van toepassing</v>
      </c>
      <c r="J131" s="302"/>
      <c r="K131" s="304"/>
      <c r="L131" s="304">
        <v>1.55</v>
      </c>
      <c r="M131" s="305" t="s">
        <v>147</v>
      </c>
      <c r="N131" s="302"/>
      <c r="O131" s="306">
        <f t="shared" si="35"/>
        <v>0</v>
      </c>
      <c r="P131" s="472">
        <v>1</v>
      </c>
      <c r="Q131" s="472">
        <v>1</v>
      </c>
      <c r="R131" s="300">
        <f t="shared" si="36"/>
        <v>0</v>
      </c>
      <c r="S131" s="300">
        <f t="shared" si="37"/>
        <v>0</v>
      </c>
      <c r="T131" s="300">
        <f t="shared" si="38"/>
        <v>0</v>
      </c>
      <c r="U131" s="307">
        <f t="shared" si="30"/>
        <v>0</v>
      </c>
      <c r="V131" s="307">
        <f t="shared" si="31"/>
        <v>0</v>
      </c>
      <c r="W131" s="307">
        <f t="shared" si="32"/>
        <v>0</v>
      </c>
      <c r="X131" s="308">
        <f t="shared" si="39"/>
        <v>0</v>
      </c>
      <c r="Y131" s="309"/>
      <c r="Z131" s="310">
        <f>(R131+S131+T131)*'1.0-Contractblad'!$L$37</f>
        <v>0</v>
      </c>
      <c r="AA131" s="310">
        <f ca="1">VLOOKUP(E131,'1.2-Jaarprijzen'!$B$51:$Q$88,16,FALSE)*K131</f>
        <v>0</v>
      </c>
      <c r="AC131" s="226">
        <f t="shared" si="33"/>
        <v>0</v>
      </c>
      <c r="AD131" s="226" t="str">
        <f t="shared" si="34"/>
        <v>nvt-0</v>
      </c>
    </row>
    <row r="132" spans="2:30" ht="12.5">
      <c r="B132" s="336"/>
      <c r="C132" s="337"/>
      <c r="D132" s="302">
        <f>VLOOKUP(E132,'1.2-Jaarprijzen'!B:G,6,FALSE)</f>
        <v>1</v>
      </c>
      <c r="E132" s="522" t="s">
        <v>82</v>
      </c>
      <c r="F132" s="302" t="s">
        <v>272</v>
      </c>
      <c r="G132" s="525" t="s">
        <v>278</v>
      </c>
      <c r="H132" s="522" t="s">
        <v>363</v>
      </c>
      <c r="I132" s="303" t="str">
        <f t="shared" si="28"/>
        <v>administratieve -, personeels- en vergaderruimte</v>
      </c>
      <c r="J132" s="302" t="s">
        <v>229</v>
      </c>
      <c r="K132" s="304">
        <v>45.85</v>
      </c>
      <c r="L132" s="304"/>
      <c r="M132" s="305">
        <v>1200</v>
      </c>
      <c r="N132" s="302"/>
      <c r="O132" s="306">
        <f t="shared" si="35"/>
        <v>200</v>
      </c>
      <c r="P132" s="472">
        <v>1</v>
      </c>
      <c r="Q132" s="472">
        <v>1</v>
      </c>
      <c r="R132" s="300">
        <f t="shared" si="36"/>
        <v>19.245679012345679</v>
      </c>
      <c r="S132" s="300">
        <f t="shared" si="37"/>
        <v>3.3962962962962964</v>
      </c>
      <c r="T132" s="300">
        <f t="shared" si="38"/>
        <v>0</v>
      </c>
      <c r="U132" s="307">
        <f t="shared" si="30"/>
        <v>0.41975308641975306</v>
      </c>
      <c r="V132" s="307">
        <f t="shared" si="31"/>
        <v>7.407407407407407E-2</v>
      </c>
      <c r="W132" s="307">
        <f t="shared" si="32"/>
        <v>0</v>
      </c>
      <c r="X132" s="308" t="str">
        <f t="shared" si="39"/>
        <v>V</v>
      </c>
      <c r="Y132" s="309" t="s">
        <v>364</v>
      </c>
      <c r="Z132" s="310">
        <f>(R132+S132+T132)*'1.0-Contractblad'!$L$37</f>
        <v>687.58410148632049</v>
      </c>
      <c r="AA132" s="310">
        <f ca="1">VLOOKUP(E132,'1.2-Jaarprijzen'!$B$51:$Q$88,16,FALSE)*K132</f>
        <v>0</v>
      </c>
      <c r="AC132" s="226">
        <f t="shared" si="33"/>
        <v>9170</v>
      </c>
      <c r="AD132" s="226" t="str">
        <f t="shared" si="34"/>
        <v>1200-200</v>
      </c>
    </row>
    <row r="133" spans="2:30" ht="12.5">
      <c r="B133" s="336"/>
      <c r="C133" s="337"/>
      <c r="D133" s="302">
        <f>VLOOKUP(E133,'1.2-Jaarprijzen'!B:G,6,FALSE)</f>
        <v>1</v>
      </c>
      <c r="E133" s="522" t="s">
        <v>82</v>
      </c>
      <c r="F133" s="302" t="s">
        <v>272</v>
      </c>
      <c r="G133" s="525" t="s">
        <v>279</v>
      </c>
      <c r="H133" s="523" t="s">
        <v>365</v>
      </c>
      <c r="I133" s="303" t="str">
        <f t="shared" si="28"/>
        <v>niet van toepassing</v>
      </c>
      <c r="J133" s="302"/>
      <c r="K133" s="304"/>
      <c r="L133" s="304">
        <v>4.42</v>
      </c>
      <c r="M133" s="305" t="s">
        <v>147</v>
      </c>
      <c r="N133" s="302"/>
      <c r="O133" s="306">
        <f t="shared" si="35"/>
        <v>0</v>
      </c>
      <c r="P133" s="472">
        <v>1</v>
      </c>
      <c r="Q133" s="472">
        <v>1</v>
      </c>
      <c r="R133" s="300">
        <f t="shared" si="36"/>
        <v>0</v>
      </c>
      <c r="S133" s="300">
        <f t="shared" si="37"/>
        <v>0</v>
      </c>
      <c r="T133" s="300">
        <f t="shared" si="38"/>
        <v>0</v>
      </c>
      <c r="U133" s="307">
        <f t="shared" si="30"/>
        <v>0</v>
      </c>
      <c r="V133" s="307">
        <f t="shared" si="31"/>
        <v>0</v>
      </c>
      <c r="W133" s="307">
        <f t="shared" si="32"/>
        <v>0</v>
      </c>
      <c r="X133" s="308">
        <f t="shared" si="39"/>
        <v>0</v>
      </c>
      <c r="Y133" s="309"/>
      <c r="Z133" s="310">
        <f>(R133+S133+T133)*'1.0-Contractblad'!$L$37</f>
        <v>0</v>
      </c>
      <c r="AA133" s="310">
        <f ca="1">VLOOKUP(E133,'1.2-Jaarprijzen'!$B$51:$Q$88,16,FALSE)*K133</f>
        <v>0</v>
      </c>
      <c r="AC133" s="226">
        <f t="shared" si="33"/>
        <v>0</v>
      </c>
      <c r="AD133" s="226" t="str">
        <f t="shared" si="34"/>
        <v>nvt-0</v>
      </c>
    </row>
    <row r="134" spans="2:30" ht="12.5">
      <c r="B134" s="336"/>
      <c r="C134" s="337"/>
      <c r="D134" s="302">
        <f>VLOOKUP(E134,'1.2-Jaarprijzen'!B:G,6,FALSE)</f>
        <v>1</v>
      </c>
      <c r="E134" s="522" t="s">
        <v>82</v>
      </c>
      <c r="F134" s="302" t="s">
        <v>272</v>
      </c>
      <c r="G134" s="525" t="s">
        <v>281</v>
      </c>
      <c r="H134" s="523" t="s">
        <v>329</v>
      </c>
      <c r="I134" s="303" t="str">
        <f t="shared" si="28"/>
        <v>sanitaire ruimte (toilet-/doucheruimte)</v>
      </c>
      <c r="J134" s="302" t="s">
        <v>229</v>
      </c>
      <c r="K134" s="304">
        <v>3.5</v>
      </c>
      <c r="L134" s="304"/>
      <c r="M134" s="305">
        <v>4200</v>
      </c>
      <c r="N134" s="302"/>
      <c r="O134" s="306">
        <f t="shared" si="35"/>
        <v>200</v>
      </c>
      <c r="P134" s="472">
        <v>1</v>
      </c>
      <c r="Q134" s="472">
        <v>1</v>
      </c>
      <c r="R134" s="300">
        <f t="shared" si="36"/>
        <v>9.3804193599243249</v>
      </c>
      <c r="S134" s="300">
        <f t="shared" si="37"/>
        <v>1.6553681223395869</v>
      </c>
      <c r="T134" s="300">
        <f t="shared" si="38"/>
        <v>0</v>
      </c>
      <c r="U134" s="307">
        <f t="shared" si="30"/>
        <v>2.6801198171212359</v>
      </c>
      <c r="V134" s="307">
        <f t="shared" si="31"/>
        <v>0.4729623206684534</v>
      </c>
      <c r="W134" s="307">
        <f t="shared" si="32"/>
        <v>0</v>
      </c>
      <c r="X134" s="308" t="str">
        <f t="shared" si="39"/>
        <v>S</v>
      </c>
      <c r="Y134" s="309"/>
      <c r="Z134" s="310">
        <f>(R134+S134+T134)*'1.0-Contractblad'!$L$37</f>
        <v>335.13118518816771</v>
      </c>
      <c r="AA134" s="310">
        <f ca="1">VLOOKUP(E134,'1.2-Jaarprijzen'!$B$51:$Q$88,16,FALSE)*K134</f>
        <v>0</v>
      </c>
      <c r="AC134" s="226">
        <f t="shared" si="33"/>
        <v>700</v>
      </c>
      <c r="AD134" s="226" t="str">
        <f t="shared" si="34"/>
        <v>4200-200</v>
      </c>
    </row>
    <row r="135" spans="2:30" ht="12.5">
      <c r="B135" s="336"/>
      <c r="C135" s="337"/>
      <c r="D135" s="302">
        <f>VLOOKUP(E135,'1.2-Jaarprijzen'!B:G,6,FALSE)</f>
        <v>1</v>
      </c>
      <c r="E135" s="522" t="s">
        <v>82</v>
      </c>
      <c r="F135" s="302" t="s">
        <v>272</v>
      </c>
      <c r="G135" s="525" t="s">
        <v>283</v>
      </c>
      <c r="H135" s="523" t="s">
        <v>220</v>
      </c>
      <c r="I135" s="303" t="str">
        <f t="shared" si="28"/>
        <v>sanitaire ruimte (toilet-/doucheruimte)</v>
      </c>
      <c r="J135" s="302" t="s">
        <v>229</v>
      </c>
      <c r="K135" s="304">
        <v>1.881</v>
      </c>
      <c r="L135" s="304"/>
      <c r="M135" s="305">
        <v>4200</v>
      </c>
      <c r="N135" s="302"/>
      <c r="O135" s="306">
        <f t="shared" si="35"/>
        <v>200</v>
      </c>
      <c r="P135" s="472">
        <v>1</v>
      </c>
      <c r="Q135" s="472">
        <v>1</v>
      </c>
      <c r="R135" s="300">
        <f t="shared" si="36"/>
        <v>5.0413053760050444</v>
      </c>
      <c r="S135" s="300">
        <f t="shared" si="37"/>
        <v>0.88964212517736085</v>
      </c>
      <c r="T135" s="300">
        <f t="shared" si="38"/>
        <v>0</v>
      </c>
      <c r="U135" s="307">
        <f t="shared" si="30"/>
        <v>2.6801198171212359</v>
      </c>
      <c r="V135" s="307">
        <f t="shared" si="31"/>
        <v>0.4729623206684534</v>
      </c>
      <c r="W135" s="307">
        <f t="shared" si="32"/>
        <v>0</v>
      </c>
      <c r="X135" s="308" t="str">
        <f t="shared" si="39"/>
        <v>S</v>
      </c>
      <c r="Y135" s="309"/>
      <c r="Z135" s="310">
        <f>(R135+S135+T135)*'1.0-Contractblad'!$L$37</f>
        <v>180.10907409684103</v>
      </c>
      <c r="AA135" s="310">
        <f ca="1">VLOOKUP(E135,'1.2-Jaarprijzen'!$B$51:$Q$88,16,FALSE)*K135</f>
        <v>0</v>
      </c>
      <c r="AC135" s="226">
        <f t="shared" si="33"/>
        <v>376.2</v>
      </c>
      <c r="AD135" s="226" t="str">
        <f t="shared" si="34"/>
        <v>4200-200</v>
      </c>
    </row>
    <row r="136" spans="2:30" ht="12.5">
      <c r="B136" s="336"/>
      <c r="C136" s="337"/>
      <c r="D136" s="302">
        <f>VLOOKUP(E136,'1.2-Jaarprijzen'!B:G,6,FALSE)</f>
        <v>1</v>
      </c>
      <c r="E136" s="522" t="s">
        <v>82</v>
      </c>
      <c r="F136" s="302" t="s">
        <v>272</v>
      </c>
      <c r="G136" s="525" t="s">
        <v>285</v>
      </c>
      <c r="H136" s="523" t="s">
        <v>220</v>
      </c>
      <c r="I136" s="303" t="str">
        <f t="shared" si="28"/>
        <v>sanitaire ruimte (toilet-/doucheruimte)</v>
      </c>
      <c r="J136" s="302" t="s">
        <v>229</v>
      </c>
      <c r="K136" s="304">
        <v>1.881</v>
      </c>
      <c r="L136" s="304"/>
      <c r="M136" s="305">
        <v>4200</v>
      </c>
      <c r="N136" s="302"/>
      <c r="O136" s="306">
        <f t="shared" si="35"/>
        <v>200</v>
      </c>
      <c r="P136" s="472">
        <v>1</v>
      </c>
      <c r="Q136" s="472">
        <v>1</v>
      </c>
      <c r="R136" s="300">
        <f t="shared" si="36"/>
        <v>5.0413053760050444</v>
      </c>
      <c r="S136" s="300">
        <f t="shared" si="37"/>
        <v>0.88964212517736085</v>
      </c>
      <c r="T136" s="300">
        <f t="shared" si="38"/>
        <v>0</v>
      </c>
      <c r="U136" s="307">
        <f t="shared" si="30"/>
        <v>2.6801198171212359</v>
      </c>
      <c r="V136" s="307">
        <f t="shared" si="31"/>
        <v>0.4729623206684534</v>
      </c>
      <c r="W136" s="307">
        <f t="shared" si="32"/>
        <v>0</v>
      </c>
      <c r="X136" s="308" t="str">
        <f t="shared" si="39"/>
        <v>S</v>
      </c>
      <c r="Y136" s="309"/>
      <c r="Z136" s="310">
        <f>(R136+S136+T136)*'1.0-Contractblad'!$L$37</f>
        <v>180.10907409684103</v>
      </c>
      <c r="AA136" s="310">
        <f ca="1">VLOOKUP(E136,'1.2-Jaarprijzen'!$B$51:$Q$88,16,FALSE)*K136</f>
        <v>0</v>
      </c>
      <c r="AC136" s="226">
        <f t="shared" si="33"/>
        <v>376.2</v>
      </c>
      <c r="AD136" s="226" t="str">
        <f t="shared" si="34"/>
        <v>4200-200</v>
      </c>
    </row>
    <row r="137" spans="2:30" ht="12.5">
      <c r="B137" s="336"/>
      <c r="C137" s="337"/>
      <c r="D137" s="302">
        <f>VLOOKUP(E137,'1.2-Jaarprijzen'!B:G,6,FALSE)</f>
        <v>1</v>
      </c>
      <c r="E137" s="522" t="s">
        <v>82</v>
      </c>
      <c r="F137" s="302" t="s">
        <v>272</v>
      </c>
      <c r="G137" s="525" t="s">
        <v>366</v>
      </c>
      <c r="H137" s="523" t="s">
        <v>280</v>
      </c>
      <c r="I137" s="303" t="str">
        <f t="shared" si="28"/>
        <v>entree, gang, hal, repro, kopieer, was/droogruimte</v>
      </c>
      <c r="J137" s="302" t="s">
        <v>229</v>
      </c>
      <c r="K137" s="304">
        <v>40.97</v>
      </c>
      <c r="L137" s="304"/>
      <c r="M137" s="305">
        <v>3200</v>
      </c>
      <c r="N137" s="302"/>
      <c r="O137" s="306">
        <f t="shared" si="35"/>
        <v>200</v>
      </c>
      <c r="P137" s="472">
        <v>1</v>
      </c>
      <c r="Q137" s="472">
        <v>1</v>
      </c>
      <c r="R137" s="300">
        <f t="shared" si="36"/>
        <v>15.420609519936841</v>
      </c>
      <c r="S137" s="300">
        <f t="shared" si="37"/>
        <v>4.6513251541113849</v>
      </c>
      <c r="T137" s="300">
        <f t="shared" si="38"/>
        <v>0</v>
      </c>
      <c r="U137" s="307">
        <f t="shared" si="30"/>
        <v>0.37638783304703055</v>
      </c>
      <c r="V137" s="307">
        <f t="shared" si="31"/>
        <v>0.11353002572885977</v>
      </c>
      <c r="W137" s="307">
        <f t="shared" si="32"/>
        <v>0</v>
      </c>
      <c r="X137" s="308" t="str">
        <f t="shared" si="39"/>
        <v>V</v>
      </c>
      <c r="Y137" s="309"/>
      <c r="Z137" s="310">
        <f>(R137+S137+T137)*'1.0-Contractblad'!$L$37</f>
        <v>609.5379479845983</v>
      </c>
      <c r="AA137" s="310">
        <f ca="1">VLOOKUP(E137,'1.2-Jaarprijzen'!$B$51:$Q$88,16,FALSE)*K137</f>
        <v>0</v>
      </c>
      <c r="AC137" s="226">
        <f t="shared" si="33"/>
        <v>8194</v>
      </c>
      <c r="AD137" s="226" t="str">
        <f t="shared" si="34"/>
        <v>3200-200</v>
      </c>
    </row>
    <row r="138" spans="2:30" ht="12.5">
      <c r="B138" s="336"/>
      <c r="C138" s="337"/>
      <c r="D138" s="302">
        <f>VLOOKUP(E138,'1.2-Jaarprijzen'!B:G,6,FALSE)</f>
        <v>1</v>
      </c>
      <c r="E138" s="522" t="s">
        <v>82</v>
      </c>
      <c r="F138" s="302" t="s">
        <v>272</v>
      </c>
      <c r="G138" s="525" t="s">
        <v>286</v>
      </c>
      <c r="H138" s="523" t="s">
        <v>324</v>
      </c>
      <c r="I138" s="303" t="str">
        <f t="shared" si="28"/>
        <v>praktijklokaal</v>
      </c>
      <c r="J138" s="302" t="s">
        <v>229</v>
      </c>
      <c r="K138" s="304">
        <v>18.5</v>
      </c>
      <c r="L138" s="304"/>
      <c r="M138" s="305">
        <v>6200</v>
      </c>
      <c r="N138" s="302"/>
      <c r="O138" s="306">
        <f t="shared" si="35"/>
        <v>200</v>
      </c>
      <c r="P138" s="472">
        <v>1</v>
      </c>
      <c r="Q138" s="472">
        <v>1</v>
      </c>
      <c r="R138" s="300">
        <f t="shared" si="36"/>
        <v>7.7474781724469368</v>
      </c>
      <c r="S138" s="300">
        <f t="shared" si="37"/>
        <v>2.2138355017127656</v>
      </c>
      <c r="T138" s="300">
        <f t="shared" si="38"/>
        <v>0</v>
      </c>
      <c r="U138" s="307">
        <f t="shared" si="30"/>
        <v>0.41878260391605066</v>
      </c>
      <c r="V138" s="307">
        <f t="shared" si="31"/>
        <v>0.1196667838763657</v>
      </c>
      <c r="W138" s="307">
        <f t="shared" si="32"/>
        <v>0</v>
      </c>
      <c r="X138" s="308" t="str">
        <f t="shared" si="39"/>
        <v>L</v>
      </c>
      <c r="Y138" s="309"/>
      <c r="Z138" s="310">
        <f>(R138+S138+T138)*'1.0-Contractblad'!$L$37</f>
        <v>302.50191597268827</v>
      </c>
      <c r="AA138" s="310">
        <f ca="1">VLOOKUP(E138,'1.2-Jaarprijzen'!$B$51:$Q$88,16,FALSE)*K138</f>
        <v>0</v>
      </c>
      <c r="AC138" s="226">
        <f t="shared" si="33"/>
        <v>3700</v>
      </c>
      <c r="AD138" s="226" t="str">
        <f t="shared" si="34"/>
        <v>6200-200</v>
      </c>
    </row>
    <row r="139" spans="2:30" ht="12.5">
      <c r="B139" s="336"/>
      <c r="C139" s="337"/>
      <c r="D139" s="302">
        <f>VLOOKUP(E139,'1.2-Jaarprijzen'!B:G,6,FALSE)</f>
        <v>1</v>
      </c>
      <c r="E139" s="522" t="s">
        <v>82</v>
      </c>
      <c r="F139" s="302" t="s">
        <v>272</v>
      </c>
      <c r="G139" s="525" t="s">
        <v>288</v>
      </c>
      <c r="H139" s="523" t="s">
        <v>282</v>
      </c>
      <c r="I139" s="303" t="str">
        <f t="shared" si="28"/>
        <v>administratieve -, personeels- en vergaderruimte</v>
      </c>
      <c r="J139" s="302" t="s">
        <v>229</v>
      </c>
      <c r="K139" s="304">
        <v>10.31</v>
      </c>
      <c r="L139" s="304"/>
      <c r="M139" s="305">
        <v>1080</v>
      </c>
      <c r="N139" s="302"/>
      <c r="O139" s="306">
        <f t="shared" si="35"/>
        <v>80</v>
      </c>
      <c r="P139" s="472">
        <v>1</v>
      </c>
      <c r="Q139" s="472">
        <v>1</v>
      </c>
      <c r="R139" s="300">
        <f t="shared" si="36"/>
        <v>2.1571692307692309</v>
      </c>
      <c r="S139" s="300">
        <f t="shared" si="37"/>
        <v>0.38067692307692313</v>
      </c>
      <c r="T139" s="300">
        <f t="shared" si="38"/>
        <v>0</v>
      </c>
      <c r="U139" s="307">
        <f t="shared" si="30"/>
        <v>0.20923076923076925</v>
      </c>
      <c r="V139" s="307">
        <f t="shared" si="31"/>
        <v>3.6923076923076927E-2</v>
      </c>
      <c r="W139" s="307">
        <f t="shared" si="32"/>
        <v>0</v>
      </c>
      <c r="X139" s="308" t="str">
        <f t="shared" si="39"/>
        <v>V</v>
      </c>
      <c r="Y139" s="309"/>
      <c r="Z139" s="310">
        <f>(R139+S139+T139)*'1.0-Contractblad'!$L$37</f>
        <v>77.068482039055937</v>
      </c>
      <c r="AA139" s="310">
        <f ca="1">VLOOKUP(E139,'1.2-Jaarprijzen'!$B$51:$Q$88,16,FALSE)*K139</f>
        <v>0</v>
      </c>
      <c r="AC139" s="226">
        <f t="shared" si="33"/>
        <v>824.80000000000007</v>
      </c>
      <c r="AD139" s="226" t="str">
        <f t="shared" si="34"/>
        <v>1080-80</v>
      </c>
    </row>
    <row r="140" spans="2:30" ht="12.5">
      <c r="B140" s="336"/>
      <c r="C140" s="337"/>
      <c r="D140" s="302">
        <f>VLOOKUP(E140,'1.2-Jaarprijzen'!B:G,6,FALSE)</f>
        <v>1</v>
      </c>
      <c r="E140" s="522" t="s">
        <v>82</v>
      </c>
      <c r="F140" s="302" t="s">
        <v>272</v>
      </c>
      <c r="G140" s="525" t="s">
        <v>290</v>
      </c>
      <c r="H140" s="523" t="s">
        <v>282</v>
      </c>
      <c r="I140" s="303" t="str">
        <f t="shared" si="28"/>
        <v>administratieve -, personeels- en vergaderruimte</v>
      </c>
      <c r="J140" s="302" t="s">
        <v>229</v>
      </c>
      <c r="K140" s="304">
        <v>13.5</v>
      </c>
      <c r="L140" s="304"/>
      <c r="M140" s="305">
        <v>1080</v>
      </c>
      <c r="N140" s="302"/>
      <c r="O140" s="306">
        <f t="shared" si="35"/>
        <v>80</v>
      </c>
      <c r="P140" s="472">
        <v>1</v>
      </c>
      <c r="Q140" s="472">
        <v>1</v>
      </c>
      <c r="R140" s="300">
        <f t="shared" si="36"/>
        <v>2.824615384615385</v>
      </c>
      <c r="S140" s="300">
        <f t="shared" si="37"/>
        <v>0.49846153846153851</v>
      </c>
      <c r="T140" s="300">
        <f t="shared" si="38"/>
        <v>0</v>
      </c>
      <c r="U140" s="307">
        <f t="shared" si="30"/>
        <v>0.20923076923076925</v>
      </c>
      <c r="V140" s="307">
        <f t="shared" si="31"/>
        <v>3.6923076923076927E-2</v>
      </c>
      <c r="W140" s="307">
        <f t="shared" si="32"/>
        <v>0</v>
      </c>
      <c r="X140" s="308" t="str">
        <f t="shared" si="39"/>
        <v>V</v>
      </c>
      <c r="Y140" s="309"/>
      <c r="Z140" s="310">
        <f>(R140+S140+T140)*'1.0-Contractblad'!$L$37</f>
        <v>100.91411324221681</v>
      </c>
      <c r="AA140" s="310">
        <f ca="1">VLOOKUP(E140,'1.2-Jaarprijzen'!$B$51:$Q$88,16,FALSE)*K140</f>
        <v>0</v>
      </c>
      <c r="AC140" s="226">
        <f t="shared" si="33"/>
        <v>1080</v>
      </c>
      <c r="AD140" s="226" t="str">
        <f t="shared" si="34"/>
        <v>1080-80</v>
      </c>
    </row>
    <row r="141" spans="2:30" ht="12.5">
      <c r="B141" s="336"/>
      <c r="C141" s="337"/>
      <c r="D141" s="302">
        <f>VLOOKUP(E141,'1.2-Jaarprijzen'!B:G,6,FALSE)</f>
        <v>1</v>
      </c>
      <c r="E141" s="522" t="s">
        <v>82</v>
      </c>
      <c r="F141" s="302" t="s">
        <v>272</v>
      </c>
      <c r="G141" s="525" t="s">
        <v>291</v>
      </c>
      <c r="H141" s="523" t="s">
        <v>323</v>
      </c>
      <c r="I141" s="303" t="str">
        <f t="shared" si="28"/>
        <v>entree, gang, hal, repro, kopieer, was/droogruimte</v>
      </c>
      <c r="J141" s="302" t="s">
        <v>229</v>
      </c>
      <c r="K141" s="304">
        <v>13.5</v>
      </c>
      <c r="L141" s="304"/>
      <c r="M141" s="305">
        <v>3200</v>
      </c>
      <c r="N141" s="302"/>
      <c r="O141" s="306">
        <f t="shared" si="35"/>
        <v>200</v>
      </c>
      <c r="P141" s="472">
        <v>1</v>
      </c>
      <c r="Q141" s="472">
        <v>1</v>
      </c>
      <c r="R141" s="300">
        <f t="shared" si="36"/>
        <v>5.0812357461349125</v>
      </c>
      <c r="S141" s="300">
        <f t="shared" si="37"/>
        <v>1.532655347339607</v>
      </c>
      <c r="T141" s="300">
        <f t="shared" si="38"/>
        <v>0</v>
      </c>
      <c r="U141" s="307">
        <f t="shared" si="30"/>
        <v>0.37638783304703055</v>
      </c>
      <c r="V141" s="307">
        <f t="shared" si="31"/>
        <v>0.11353002572885977</v>
      </c>
      <c r="W141" s="307">
        <f t="shared" si="32"/>
        <v>0</v>
      </c>
      <c r="X141" s="308" t="str">
        <f t="shared" si="39"/>
        <v>V</v>
      </c>
      <c r="Y141" s="309"/>
      <c r="Z141" s="310">
        <f>(R141+S141+T141)*'1.0-Contractblad'!$L$37</f>
        <v>200.84848176207169</v>
      </c>
      <c r="AA141" s="310">
        <f ca="1">VLOOKUP(E141,'1.2-Jaarprijzen'!$B$51:$Q$88,16,FALSE)*K141</f>
        <v>0</v>
      </c>
      <c r="AC141" s="226">
        <f t="shared" si="33"/>
        <v>2700</v>
      </c>
      <c r="AD141" s="226" t="str">
        <f t="shared" si="34"/>
        <v>3200-200</v>
      </c>
    </row>
    <row r="142" spans="2:30" ht="12.5">
      <c r="B142" s="336"/>
      <c r="C142" s="337"/>
      <c r="D142" s="302">
        <f>VLOOKUP(E142,'1.2-Jaarprijzen'!B:G,6,FALSE)</f>
        <v>1</v>
      </c>
      <c r="E142" s="522" t="s">
        <v>82</v>
      </c>
      <c r="F142" s="302" t="s">
        <v>272</v>
      </c>
      <c r="G142" s="525" t="s">
        <v>293</v>
      </c>
      <c r="H142" s="523" t="s">
        <v>280</v>
      </c>
      <c r="I142" s="303" t="str">
        <f t="shared" si="28"/>
        <v>entree, gang, hal, repro, kopieer, was/droogruimte</v>
      </c>
      <c r="J142" s="302" t="s">
        <v>229</v>
      </c>
      <c r="K142" s="304">
        <v>27.32</v>
      </c>
      <c r="L142" s="304"/>
      <c r="M142" s="305">
        <v>3200</v>
      </c>
      <c r="N142" s="302"/>
      <c r="O142" s="306">
        <f t="shared" si="35"/>
        <v>200</v>
      </c>
      <c r="P142" s="472">
        <v>1</v>
      </c>
      <c r="Q142" s="472">
        <v>1</v>
      </c>
      <c r="R142" s="300">
        <f t="shared" si="36"/>
        <v>10.282915598844875</v>
      </c>
      <c r="S142" s="300">
        <f t="shared" si="37"/>
        <v>3.1016403029124491</v>
      </c>
      <c r="T142" s="300">
        <f t="shared" si="38"/>
        <v>0</v>
      </c>
      <c r="U142" s="307">
        <f t="shared" si="30"/>
        <v>0.37638783304703055</v>
      </c>
      <c r="V142" s="307">
        <f t="shared" si="31"/>
        <v>0.11353002572885977</v>
      </c>
      <c r="W142" s="307">
        <f t="shared" si="32"/>
        <v>0</v>
      </c>
      <c r="X142" s="308" t="str">
        <f t="shared" si="39"/>
        <v>V</v>
      </c>
      <c r="Y142" s="309"/>
      <c r="Z142" s="310">
        <f>(R142+S142+T142)*'1.0-Contractblad'!$L$37</f>
        <v>406.45781642517028</v>
      </c>
      <c r="AA142" s="310">
        <f ca="1">VLOOKUP(E142,'1.2-Jaarprijzen'!$B$51:$Q$88,16,FALSE)*K142</f>
        <v>0</v>
      </c>
      <c r="AC142" s="226">
        <f t="shared" si="33"/>
        <v>5464</v>
      </c>
      <c r="AD142" s="226" t="str">
        <f t="shared" si="34"/>
        <v>3200-200</v>
      </c>
    </row>
    <row r="143" spans="2:30" ht="12.5">
      <c r="B143" s="336"/>
      <c r="C143" s="337"/>
      <c r="D143" s="302">
        <f>VLOOKUP(E143,'1.2-Jaarprijzen'!B:G,6,FALSE)</f>
        <v>1</v>
      </c>
      <c r="E143" s="522" t="s">
        <v>82</v>
      </c>
      <c r="F143" s="302" t="s">
        <v>272</v>
      </c>
      <c r="G143" s="525" t="s">
        <v>294</v>
      </c>
      <c r="H143" s="523" t="s">
        <v>317</v>
      </c>
      <c r="I143" s="303" t="str">
        <f t="shared" si="28"/>
        <v>entree, gang, hal, repro, kopieer, was/droogruimte</v>
      </c>
      <c r="J143" s="302" t="s">
        <v>253</v>
      </c>
      <c r="K143" s="304">
        <v>9.1999999999999993</v>
      </c>
      <c r="L143" s="304"/>
      <c r="M143" s="305">
        <v>3200</v>
      </c>
      <c r="N143" s="302"/>
      <c r="O143" s="306">
        <f t="shared" si="35"/>
        <v>200</v>
      </c>
      <c r="P143" s="472">
        <v>1</v>
      </c>
      <c r="Q143" s="472">
        <v>1</v>
      </c>
      <c r="R143" s="300">
        <f t="shared" si="36"/>
        <v>3.462768064032681</v>
      </c>
      <c r="S143" s="300">
        <f t="shared" si="37"/>
        <v>1.0444762367055098</v>
      </c>
      <c r="T143" s="300">
        <f t="shared" si="38"/>
        <v>0</v>
      </c>
      <c r="U143" s="307">
        <f t="shared" si="30"/>
        <v>0.37638783304703055</v>
      </c>
      <c r="V143" s="307">
        <f t="shared" si="31"/>
        <v>0.11353002572885977</v>
      </c>
      <c r="W143" s="307">
        <f t="shared" si="32"/>
        <v>0</v>
      </c>
      <c r="X143" s="308" t="str">
        <f t="shared" si="39"/>
        <v>V</v>
      </c>
      <c r="Y143" s="309"/>
      <c r="Z143" s="310">
        <f>(R143+S143+T143)*'1.0-Contractblad'!$L$37</f>
        <v>136.87452090452294</v>
      </c>
      <c r="AA143" s="310">
        <f ca="1">VLOOKUP(E143,'1.2-Jaarprijzen'!$B$51:$Q$88,16,FALSE)*K143</f>
        <v>0</v>
      </c>
      <c r="AC143" s="226">
        <f t="shared" si="33"/>
        <v>1839.9999999999998</v>
      </c>
      <c r="AD143" s="226" t="str">
        <f t="shared" si="34"/>
        <v>3200-200</v>
      </c>
    </row>
    <row r="144" spans="2:30" ht="12.5">
      <c r="B144" s="336"/>
      <c r="C144" s="337"/>
      <c r="D144" s="302">
        <f>VLOOKUP(E144,'1.2-Jaarprijzen'!B:G,6,FALSE)</f>
        <v>1</v>
      </c>
      <c r="E144" s="522" t="s">
        <v>82</v>
      </c>
      <c r="F144" s="302" t="s">
        <v>272</v>
      </c>
      <c r="G144" s="525" t="s">
        <v>367</v>
      </c>
      <c r="H144" s="523" t="s">
        <v>362</v>
      </c>
      <c r="I144" s="303" t="str">
        <f t="shared" si="28"/>
        <v>trappenhuis</v>
      </c>
      <c r="J144" s="302" t="s">
        <v>208</v>
      </c>
      <c r="K144" s="304">
        <v>5.625</v>
      </c>
      <c r="L144" s="304"/>
      <c r="M144" s="305">
        <v>9200</v>
      </c>
      <c r="N144" s="302"/>
      <c r="O144" s="306">
        <f t="shared" si="35"/>
        <v>200</v>
      </c>
      <c r="P144" s="472">
        <v>1</v>
      </c>
      <c r="Q144" s="472">
        <v>1</v>
      </c>
      <c r="R144" s="300">
        <f t="shared" si="36"/>
        <v>3.9697154266679</v>
      </c>
      <c r="S144" s="300">
        <f t="shared" si="37"/>
        <v>0.24738806282133294</v>
      </c>
      <c r="T144" s="300">
        <f t="shared" si="38"/>
        <v>0</v>
      </c>
      <c r="U144" s="307">
        <f t="shared" si="30"/>
        <v>0.70572718696318226</v>
      </c>
      <c r="V144" s="307">
        <f t="shared" si="31"/>
        <v>4.3980100057125854E-2</v>
      </c>
      <c r="W144" s="307">
        <f t="shared" si="32"/>
        <v>0</v>
      </c>
      <c r="X144" s="308" t="str">
        <f t="shared" si="39"/>
        <v>V</v>
      </c>
      <c r="Y144" s="309"/>
      <c r="Z144" s="310">
        <f>(R144+S144+T144)*'1.0-Contractblad'!$L$37</f>
        <v>128.06361963430632</v>
      </c>
      <c r="AA144" s="310">
        <f ca="1">VLOOKUP(E144,'1.2-Jaarprijzen'!$B$51:$Q$88,16,FALSE)*K144</f>
        <v>0</v>
      </c>
      <c r="AC144" s="226">
        <f t="shared" si="33"/>
        <v>1125</v>
      </c>
      <c r="AD144" s="226" t="str">
        <f t="shared" si="34"/>
        <v>9200-200</v>
      </c>
    </row>
    <row r="145" spans="2:30" ht="12.5">
      <c r="B145" s="336"/>
      <c r="C145" s="337"/>
      <c r="D145" s="302">
        <f>VLOOKUP(E145,'1.2-Jaarprijzen'!B:G,6,FALSE)</f>
        <v>1</v>
      </c>
      <c r="E145" s="522" t="s">
        <v>82</v>
      </c>
      <c r="F145" s="302" t="s">
        <v>272</v>
      </c>
      <c r="G145" s="525" t="s">
        <v>296</v>
      </c>
      <c r="H145" s="523" t="s">
        <v>328</v>
      </c>
      <c r="I145" s="303" t="str">
        <f t="shared" si="28"/>
        <v>leslokaal/leerplein</v>
      </c>
      <c r="J145" s="302" t="s">
        <v>229</v>
      </c>
      <c r="K145" s="304">
        <v>50.73</v>
      </c>
      <c r="L145" s="304"/>
      <c r="M145" s="305">
        <v>7200</v>
      </c>
      <c r="N145" s="302"/>
      <c r="O145" s="306">
        <f t="shared" si="35"/>
        <v>200</v>
      </c>
      <c r="P145" s="472">
        <v>1</v>
      </c>
      <c r="Q145" s="472">
        <v>1</v>
      </c>
      <c r="R145" s="300">
        <f t="shared" si="36"/>
        <v>26.535692307692308</v>
      </c>
      <c r="S145" s="300">
        <f t="shared" si="37"/>
        <v>4.6827692307692308</v>
      </c>
      <c r="T145" s="300">
        <f t="shared" si="38"/>
        <v>0</v>
      </c>
      <c r="U145" s="307">
        <f t="shared" si="30"/>
        <v>0.52307692307692311</v>
      </c>
      <c r="V145" s="307">
        <f t="shared" si="31"/>
        <v>9.2307692307692313E-2</v>
      </c>
      <c r="W145" s="307">
        <f t="shared" si="32"/>
        <v>0</v>
      </c>
      <c r="X145" s="308" t="str">
        <f t="shared" si="39"/>
        <v>L</v>
      </c>
      <c r="Y145" s="309"/>
      <c r="Z145" s="310">
        <f>(R145+S145+T145)*'1.0-Contractblad'!$L$37</f>
        <v>948.03203051438118</v>
      </c>
      <c r="AA145" s="310">
        <f ca="1">VLOOKUP(E145,'1.2-Jaarprijzen'!$B$51:$Q$88,16,FALSE)*K145</f>
        <v>0</v>
      </c>
      <c r="AC145" s="226">
        <f t="shared" si="33"/>
        <v>10146</v>
      </c>
      <c r="AD145" s="226" t="str">
        <f t="shared" si="34"/>
        <v>7200-200</v>
      </c>
    </row>
    <row r="146" spans="2:30" ht="12.5">
      <c r="B146" s="336"/>
      <c r="C146" s="337"/>
      <c r="D146" s="302">
        <f>VLOOKUP(E146,'1.2-Jaarprijzen'!B:G,6,FALSE)</f>
        <v>1</v>
      </c>
      <c r="E146" s="522" t="s">
        <v>82</v>
      </c>
      <c r="F146" s="302" t="s">
        <v>272</v>
      </c>
      <c r="G146" s="525" t="s">
        <v>298</v>
      </c>
      <c r="H146" s="523" t="s">
        <v>328</v>
      </c>
      <c r="I146" s="303" t="str">
        <f t="shared" si="28"/>
        <v>leslokaal/leerplein</v>
      </c>
      <c r="J146" s="302" t="s">
        <v>229</v>
      </c>
      <c r="K146" s="304">
        <v>50.73</v>
      </c>
      <c r="L146" s="304"/>
      <c r="M146" s="305">
        <v>7200</v>
      </c>
      <c r="N146" s="302"/>
      <c r="O146" s="306">
        <f t="shared" si="35"/>
        <v>200</v>
      </c>
      <c r="P146" s="472">
        <v>1</v>
      </c>
      <c r="Q146" s="472">
        <v>1</v>
      </c>
      <c r="R146" s="300">
        <f t="shared" si="36"/>
        <v>26.535692307692308</v>
      </c>
      <c r="S146" s="300">
        <f t="shared" si="37"/>
        <v>4.6827692307692308</v>
      </c>
      <c r="T146" s="300">
        <f t="shared" si="38"/>
        <v>0</v>
      </c>
      <c r="U146" s="307">
        <f t="shared" si="30"/>
        <v>0.52307692307692311</v>
      </c>
      <c r="V146" s="307">
        <f t="shared" si="31"/>
        <v>9.2307692307692313E-2</v>
      </c>
      <c r="W146" s="307">
        <f t="shared" si="32"/>
        <v>0</v>
      </c>
      <c r="X146" s="308" t="str">
        <f t="shared" si="39"/>
        <v>L</v>
      </c>
      <c r="Y146" s="309"/>
      <c r="Z146" s="310">
        <f>(R146+S146+T146)*'1.0-Contractblad'!$L$37</f>
        <v>948.03203051438118</v>
      </c>
      <c r="AA146" s="310">
        <f ca="1">VLOOKUP(E146,'1.2-Jaarprijzen'!$B$51:$Q$88,16,FALSE)*K146</f>
        <v>0</v>
      </c>
      <c r="AC146" s="226">
        <f t="shared" si="33"/>
        <v>10146</v>
      </c>
      <c r="AD146" s="226" t="str">
        <f t="shared" si="34"/>
        <v>7200-200</v>
      </c>
    </row>
    <row r="147" spans="2:30" ht="12.5">
      <c r="B147" s="336"/>
      <c r="C147" s="337"/>
      <c r="D147" s="302">
        <f>VLOOKUP(E147,'1.2-Jaarprijzen'!B:G,6,FALSE)</f>
        <v>1</v>
      </c>
      <c r="E147" s="522" t="s">
        <v>82</v>
      </c>
      <c r="F147" s="302" t="s">
        <v>272</v>
      </c>
      <c r="G147" s="525" t="s">
        <v>299</v>
      </c>
      <c r="H147" s="523" t="s">
        <v>328</v>
      </c>
      <c r="I147" s="303" t="str">
        <f t="shared" si="28"/>
        <v>leslokaal/leerplein</v>
      </c>
      <c r="J147" s="302" t="s">
        <v>229</v>
      </c>
      <c r="K147" s="304">
        <v>50.73</v>
      </c>
      <c r="L147" s="304"/>
      <c r="M147" s="305">
        <v>7200</v>
      </c>
      <c r="N147" s="302"/>
      <c r="O147" s="306">
        <f t="shared" si="35"/>
        <v>200</v>
      </c>
      <c r="P147" s="472">
        <v>1</v>
      </c>
      <c r="Q147" s="472">
        <v>1</v>
      </c>
      <c r="R147" s="300">
        <f t="shared" si="36"/>
        <v>26.535692307692308</v>
      </c>
      <c r="S147" s="300">
        <f t="shared" si="37"/>
        <v>4.6827692307692308</v>
      </c>
      <c r="T147" s="300">
        <f t="shared" si="38"/>
        <v>0</v>
      </c>
      <c r="U147" s="307">
        <f t="shared" si="30"/>
        <v>0.52307692307692311</v>
      </c>
      <c r="V147" s="307">
        <f t="shared" si="31"/>
        <v>9.2307692307692313E-2</v>
      </c>
      <c r="W147" s="307">
        <f t="shared" si="32"/>
        <v>0</v>
      </c>
      <c r="X147" s="308" t="str">
        <f t="shared" si="39"/>
        <v>L</v>
      </c>
      <c r="Y147" s="309"/>
      <c r="Z147" s="310">
        <f>(R147+S147+T147)*'1.0-Contractblad'!$L$37</f>
        <v>948.03203051438118</v>
      </c>
      <c r="AA147" s="310">
        <f ca="1">VLOOKUP(E147,'1.2-Jaarprijzen'!$B$51:$Q$88,16,FALSE)*K147</f>
        <v>0</v>
      </c>
      <c r="AC147" s="226">
        <f t="shared" si="33"/>
        <v>10146</v>
      </c>
      <c r="AD147" s="226" t="str">
        <f t="shared" si="34"/>
        <v>7200-200</v>
      </c>
    </row>
    <row r="148" spans="2:30" ht="12.5">
      <c r="B148" s="336"/>
      <c r="C148" s="337"/>
      <c r="D148" s="302">
        <f>VLOOKUP(E148,'1.2-Jaarprijzen'!B:G,6,FALSE)</f>
        <v>1</v>
      </c>
      <c r="E148" s="522" t="s">
        <v>82</v>
      </c>
      <c r="F148" s="302" t="s">
        <v>272</v>
      </c>
      <c r="G148" s="525" t="s">
        <v>301</v>
      </c>
      <c r="H148" s="523" t="s">
        <v>328</v>
      </c>
      <c r="I148" s="303" t="str">
        <f t="shared" si="28"/>
        <v>leslokaal/leerplein</v>
      </c>
      <c r="J148" s="302" t="s">
        <v>229</v>
      </c>
      <c r="K148" s="304">
        <v>49.75</v>
      </c>
      <c r="L148" s="304"/>
      <c r="M148" s="305">
        <v>7200</v>
      </c>
      <c r="N148" s="302"/>
      <c r="O148" s="306">
        <f t="shared" si="35"/>
        <v>200</v>
      </c>
      <c r="P148" s="472">
        <v>1</v>
      </c>
      <c r="Q148" s="472">
        <v>1</v>
      </c>
      <c r="R148" s="300">
        <f t="shared" si="36"/>
        <v>26.023076923076925</v>
      </c>
      <c r="S148" s="300">
        <f t="shared" si="37"/>
        <v>4.5923076923076929</v>
      </c>
      <c r="T148" s="300">
        <f t="shared" si="38"/>
        <v>0</v>
      </c>
      <c r="U148" s="307">
        <f t="shared" si="30"/>
        <v>0.52307692307692311</v>
      </c>
      <c r="V148" s="307">
        <f t="shared" si="31"/>
        <v>9.2307692307692313E-2</v>
      </c>
      <c r="W148" s="307">
        <f t="shared" si="32"/>
        <v>0</v>
      </c>
      <c r="X148" s="308" t="str">
        <f t="shared" si="39"/>
        <v>L</v>
      </c>
      <c r="Y148" s="309"/>
      <c r="Z148" s="310">
        <f>(R148+S148+T148)*'1.0-Contractblad'!$L$37</f>
        <v>929.71798774079366</v>
      </c>
      <c r="AA148" s="310">
        <f ca="1">VLOOKUP(E148,'1.2-Jaarprijzen'!$B$51:$Q$88,16,FALSE)*K148</f>
        <v>0</v>
      </c>
      <c r="AC148" s="226">
        <f t="shared" si="33"/>
        <v>9950</v>
      </c>
      <c r="AD148" s="226" t="str">
        <f t="shared" si="34"/>
        <v>7200-200</v>
      </c>
    </row>
    <row r="149" spans="2:30" ht="12.5">
      <c r="B149" s="336"/>
      <c r="C149" s="337"/>
      <c r="D149" s="302">
        <f>VLOOKUP(E149,'1.2-Jaarprijzen'!B:G,6,FALSE)</f>
        <v>1</v>
      </c>
      <c r="E149" s="522" t="s">
        <v>82</v>
      </c>
      <c r="F149" s="302" t="s">
        <v>272</v>
      </c>
      <c r="G149" s="525" t="s">
        <v>302</v>
      </c>
      <c r="H149" s="523" t="s">
        <v>329</v>
      </c>
      <c r="I149" s="303" t="str">
        <f t="shared" si="28"/>
        <v>sanitaire ruimte (toilet-/doucheruimte)</v>
      </c>
      <c r="J149" s="302" t="s">
        <v>229</v>
      </c>
      <c r="K149" s="304">
        <v>3.9439999999999995</v>
      </c>
      <c r="L149" s="304"/>
      <c r="M149" s="305">
        <v>4200</v>
      </c>
      <c r="N149" s="302"/>
      <c r="O149" s="306">
        <f t="shared" si="35"/>
        <v>200</v>
      </c>
      <c r="P149" s="472">
        <v>1</v>
      </c>
      <c r="Q149" s="472">
        <v>1</v>
      </c>
      <c r="R149" s="300">
        <f t="shared" si="36"/>
        <v>10.570392558726153</v>
      </c>
      <c r="S149" s="300">
        <f t="shared" si="37"/>
        <v>1.86536339271638</v>
      </c>
      <c r="T149" s="300">
        <f t="shared" si="38"/>
        <v>0</v>
      </c>
      <c r="U149" s="307">
        <f t="shared" si="30"/>
        <v>2.6801198171212359</v>
      </c>
      <c r="V149" s="307">
        <f t="shared" si="31"/>
        <v>0.4729623206684534</v>
      </c>
      <c r="W149" s="307">
        <f t="shared" si="32"/>
        <v>0</v>
      </c>
      <c r="X149" s="308" t="str">
        <f t="shared" si="39"/>
        <v>S</v>
      </c>
      <c r="Y149" s="309"/>
      <c r="Z149" s="310">
        <f>(R149+S149+T149)*'1.0-Contractblad'!$L$37</f>
        <v>377.64496982346674</v>
      </c>
      <c r="AA149" s="310">
        <f ca="1">VLOOKUP(E149,'1.2-Jaarprijzen'!$B$51:$Q$88,16,FALSE)*K149</f>
        <v>0</v>
      </c>
      <c r="AC149" s="226">
        <f t="shared" si="33"/>
        <v>788.8</v>
      </c>
      <c r="AD149" s="226" t="str">
        <f t="shared" si="34"/>
        <v>4200-200</v>
      </c>
    </row>
    <row r="150" spans="2:30" ht="12.5">
      <c r="B150" s="336"/>
      <c r="C150" s="337"/>
      <c r="D150" s="302">
        <f>VLOOKUP(E150,'1.2-Jaarprijzen'!B:G,6,FALSE)</f>
        <v>1</v>
      </c>
      <c r="E150" s="522" t="s">
        <v>82</v>
      </c>
      <c r="F150" s="302" t="s">
        <v>272</v>
      </c>
      <c r="G150" s="525" t="s">
        <v>303</v>
      </c>
      <c r="H150" s="523" t="s">
        <v>220</v>
      </c>
      <c r="I150" s="303" t="str">
        <f t="shared" si="28"/>
        <v>sanitaire ruimte (toilet-/doucheruimte)</v>
      </c>
      <c r="J150" s="302" t="s">
        <v>229</v>
      </c>
      <c r="K150" s="304">
        <v>1.1639999999999999</v>
      </c>
      <c r="L150" s="304"/>
      <c r="M150" s="305">
        <v>4200</v>
      </c>
      <c r="N150" s="302"/>
      <c r="O150" s="306">
        <f t="shared" si="35"/>
        <v>200</v>
      </c>
      <c r="P150" s="472">
        <v>1</v>
      </c>
      <c r="Q150" s="472">
        <v>1</v>
      </c>
      <c r="R150" s="300">
        <f t="shared" si="36"/>
        <v>3.1196594671291185</v>
      </c>
      <c r="S150" s="300">
        <f t="shared" si="37"/>
        <v>0.5505281412580797</v>
      </c>
      <c r="T150" s="300">
        <f t="shared" si="38"/>
        <v>0</v>
      </c>
      <c r="U150" s="307">
        <f t="shared" si="30"/>
        <v>2.6801198171212359</v>
      </c>
      <c r="V150" s="307">
        <f t="shared" si="31"/>
        <v>0.4729623206684534</v>
      </c>
      <c r="W150" s="307">
        <f t="shared" si="32"/>
        <v>0</v>
      </c>
      <c r="X150" s="308" t="str">
        <f t="shared" si="39"/>
        <v>S</v>
      </c>
      <c r="Y150" s="309"/>
      <c r="Z150" s="310">
        <f>(R150+S150+T150)*'1.0-Contractblad'!$L$37</f>
        <v>111.45505701686493</v>
      </c>
      <c r="AA150" s="310">
        <f ca="1">VLOOKUP(E150,'1.2-Jaarprijzen'!$B$51:$Q$88,16,FALSE)*K150</f>
        <v>0</v>
      </c>
      <c r="AC150" s="226">
        <f t="shared" si="33"/>
        <v>232.79999999999998</v>
      </c>
      <c r="AD150" s="226" t="str">
        <f t="shared" si="34"/>
        <v>4200-200</v>
      </c>
    </row>
    <row r="151" spans="2:30" ht="12.5">
      <c r="B151" s="336"/>
      <c r="C151" s="337"/>
      <c r="D151" s="302">
        <f>VLOOKUP(E151,'1.2-Jaarprijzen'!B:G,6,FALSE)</f>
        <v>1</v>
      </c>
      <c r="E151" s="522" t="s">
        <v>82</v>
      </c>
      <c r="F151" s="302" t="s">
        <v>272</v>
      </c>
      <c r="G151" s="525" t="s">
        <v>305</v>
      </c>
      <c r="H151" s="523" t="s">
        <v>329</v>
      </c>
      <c r="I151" s="303" t="str">
        <f t="shared" si="28"/>
        <v>sanitaire ruimte (toilet-/doucheruimte)</v>
      </c>
      <c r="J151" s="302" t="s">
        <v>229</v>
      </c>
      <c r="K151" s="304">
        <v>1.6755999999999998</v>
      </c>
      <c r="L151" s="304"/>
      <c r="M151" s="305">
        <v>4200</v>
      </c>
      <c r="N151" s="302"/>
      <c r="O151" s="306">
        <f t="shared" si="35"/>
        <v>200</v>
      </c>
      <c r="P151" s="472">
        <v>1</v>
      </c>
      <c r="Q151" s="472">
        <v>1</v>
      </c>
      <c r="R151" s="300">
        <f t="shared" si="36"/>
        <v>4.4908087655683424</v>
      </c>
      <c r="S151" s="300">
        <f t="shared" si="37"/>
        <v>0.79249566451206044</v>
      </c>
      <c r="T151" s="300">
        <f t="shared" si="38"/>
        <v>0</v>
      </c>
      <c r="U151" s="307">
        <f t="shared" si="30"/>
        <v>2.6801198171212359</v>
      </c>
      <c r="V151" s="307">
        <f t="shared" si="31"/>
        <v>0.4729623206684534</v>
      </c>
      <c r="W151" s="307">
        <f t="shared" si="32"/>
        <v>0</v>
      </c>
      <c r="X151" s="308" t="str">
        <f t="shared" si="39"/>
        <v>S</v>
      </c>
      <c r="Y151" s="309"/>
      <c r="Z151" s="310">
        <f>(R151+S151+T151)*'1.0-Contractblad'!$L$37</f>
        <v>160.44166111465537</v>
      </c>
      <c r="AA151" s="310">
        <f ca="1">VLOOKUP(E151,'1.2-Jaarprijzen'!$B$51:$Q$88,16,FALSE)*K151</f>
        <v>0</v>
      </c>
      <c r="AC151" s="226">
        <f t="shared" si="33"/>
        <v>335.11999999999995</v>
      </c>
      <c r="AD151" s="226" t="str">
        <f t="shared" si="34"/>
        <v>4200-200</v>
      </c>
    </row>
    <row r="152" spans="2:30" ht="12.5">
      <c r="B152" s="336"/>
      <c r="C152" s="337"/>
      <c r="D152" s="302">
        <f>VLOOKUP(E152,'1.2-Jaarprijzen'!B:G,6,FALSE)</f>
        <v>1</v>
      </c>
      <c r="E152" s="522" t="s">
        <v>82</v>
      </c>
      <c r="F152" s="302" t="s">
        <v>272</v>
      </c>
      <c r="G152" s="525" t="s">
        <v>306</v>
      </c>
      <c r="H152" s="523" t="s">
        <v>220</v>
      </c>
      <c r="I152" s="303" t="str">
        <f t="shared" si="28"/>
        <v>sanitaire ruimte (toilet-/doucheruimte)</v>
      </c>
      <c r="J152" s="302" t="s">
        <v>229</v>
      </c>
      <c r="K152" s="304">
        <v>1.1639999999999999</v>
      </c>
      <c r="L152" s="304"/>
      <c r="M152" s="305">
        <v>4200</v>
      </c>
      <c r="N152" s="302"/>
      <c r="O152" s="306">
        <f t="shared" si="35"/>
        <v>200</v>
      </c>
      <c r="P152" s="472">
        <v>1</v>
      </c>
      <c r="Q152" s="472">
        <v>1</v>
      </c>
      <c r="R152" s="300">
        <f t="shared" si="36"/>
        <v>3.1196594671291185</v>
      </c>
      <c r="S152" s="300">
        <f t="shared" si="37"/>
        <v>0.5505281412580797</v>
      </c>
      <c r="T152" s="300">
        <f t="shared" si="38"/>
        <v>0</v>
      </c>
      <c r="U152" s="307">
        <f t="shared" si="30"/>
        <v>2.6801198171212359</v>
      </c>
      <c r="V152" s="307">
        <f t="shared" si="31"/>
        <v>0.4729623206684534</v>
      </c>
      <c r="W152" s="307">
        <f t="shared" si="32"/>
        <v>0</v>
      </c>
      <c r="X152" s="308" t="str">
        <f t="shared" si="39"/>
        <v>S</v>
      </c>
      <c r="Y152" s="309"/>
      <c r="Z152" s="310">
        <f>(R152+S152+T152)*'1.0-Contractblad'!$L$37</f>
        <v>111.45505701686493</v>
      </c>
      <c r="AA152" s="310">
        <f ca="1">VLOOKUP(E152,'1.2-Jaarprijzen'!$B$51:$Q$88,16,FALSE)*K152</f>
        <v>0</v>
      </c>
      <c r="AC152" s="226">
        <f t="shared" si="33"/>
        <v>232.79999999999998</v>
      </c>
      <c r="AD152" s="226" t="str">
        <f t="shared" si="34"/>
        <v>4200-200</v>
      </c>
    </row>
    <row r="153" spans="2:30" ht="12.5">
      <c r="B153" s="336"/>
      <c r="C153" s="337"/>
      <c r="D153" s="302">
        <f>VLOOKUP(E153,'1.2-Jaarprijzen'!B:G,6,FALSE)</f>
        <v>1</v>
      </c>
      <c r="E153" s="522" t="s">
        <v>82</v>
      </c>
      <c r="F153" s="302" t="s">
        <v>272</v>
      </c>
      <c r="G153" s="525" t="s">
        <v>308</v>
      </c>
      <c r="H153" s="523" t="s">
        <v>329</v>
      </c>
      <c r="I153" s="303" t="str">
        <f t="shared" si="28"/>
        <v>sanitaire ruimte (toilet-/doucheruimte)</v>
      </c>
      <c r="J153" s="302" t="s">
        <v>229</v>
      </c>
      <c r="K153" s="304">
        <v>3.9439999999999995</v>
      </c>
      <c r="L153" s="304"/>
      <c r="M153" s="305">
        <v>4200</v>
      </c>
      <c r="N153" s="302"/>
      <c r="O153" s="306">
        <f t="shared" si="35"/>
        <v>200</v>
      </c>
      <c r="P153" s="472">
        <v>1</v>
      </c>
      <c r="Q153" s="472">
        <v>1</v>
      </c>
      <c r="R153" s="300">
        <f t="shared" si="36"/>
        <v>10.570392558726153</v>
      </c>
      <c r="S153" s="300">
        <f t="shared" si="37"/>
        <v>1.86536339271638</v>
      </c>
      <c r="T153" s="300">
        <f t="shared" si="38"/>
        <v>0</v>
      </c>
      <c r="U153" s="307">
        <f t="shared" si="30"/>
        <v>2.6801198171212359</v>
      </c>
      <c r="V153" s="307">
        <f t="shared" si="31"/>
        <v>0.4729623206684534</v>
      </c>
      <c r="W153" s="307">
        <f t="shared" si="32"/>
        <v>0</v>
      </c>
      <c r="X153" s="308" t="str">
        <f t="shared" si="39"/>
        <v>S</v>
      </c>
      <c r="Y153" s="309"/>
      <c r="Z153" s="310">
        <f>(R153+S153+T153)*'1.0-Contractblad'!$L$37</f>
        <v>377.64496982346674</v>
      </c>
      <c r="AA153" s="310">
        <f ca="1">VLOOKUP(E153,'1.2-Jaarprijzen'!$B$51:$Q$88,16,FALSE)*K153</f>
        <v>0</v>
      </c>
      <c r="AC153" s="226">
        <f t="shared" si="33"/>
        <v>788.8</v>
      </c>
      <c r="AD153" s="226" t="str">
        <f t="shared" si="34"/>
        <v>4200-200</v>
      </c>
    </row>
    <row r="154" spans="2:30" ht="12.5">
      <c r="B154" s="336"/>
      <c r="C154" s="337"/>
      <c r="D154" s="302">
        <f>VLOOKUP(E154,'1.2-Jaarprijzen'!B:G,6,FALSE)</f>
        <v>1</v>
      </c>
      <c r="E154" s="522" t="s">
        <v>82</v>
      </c>
      <c r="F154" s="302" t="s">
        <v>272</v>
      </c>
      <c r="G154" s="525" t="s">
        <v>309</v>
      </c>
      <c r="H154" s="523" t="s">
        <v>220</v>
      </c>
      <c r="I154" s="303" t="str">
        <f t="shared" si="28"/>
        <v>sanitaire ruimte (toilet-/doucheruimte)</v>
      </c>
      <c r="J154" s="302" t="s">
        <v>229</v>
      </c>
      <c r="K154" s="304">
        <v>1.1639999999999999</v>
      </c>
      <c r="L154" s="304"/>
      <c r="M154" s="305">
        <v>4200</v>
      </c>
      <c r="N154" s="302"/>
      <c r="O154" s="306">
        <f t="shared" si="35"/>
        <v>200</v>
      </c>
      <c r="P154" s="472">
        <v>1</v>
      </c>
      <c r="Q154" s="472">
        <v>1</v>
      </c>
      <c r="R154" s="300">
        <f t="shared" si="36"/>
        <v>3.1196594671291185</v>
      </c>
      <c r="S154" s="300">
        <f t="shared" si="37"/>
        <v>0.5505281412580797</v>
      </c>
      <c r="T154" s="300">
        <f t="shared" si="38"/>
        <v>0</v>
      </c>
      <c r="U154" s="307">
        <f t="shared" si="30"/>
        <v>2.6801198171212359</v>
      </c>
      <c r="V154" s="307">
        <f t="shared" si="31"/>
        <v>0.4729623206684534</v>
      </c>
      <c r="W154" s="307">
        <f t="shared" si="32"/>
        <v>0</v>
      </c>
      <c r="X154" s="308" t="str">
        <f t="shared" si="39"/>
        <v>S</v>
      </c>
      <c r="Y154" s="309"/>
      <c r="Z154" s="310">
        <f>(R154+S154+T154)*'1.0-Contractblad'!$L$37</f>
        <v>111.45505701686493</v>
      </c>
      <c r="AA154" s="310">
        <f ca="1">VLOOKUP(E154,'1.2-Jaarprijzen'!$B$51:$Q$88,16,FALSE)*K154</f>
        <v>0</v>
      </c>
      <c r="AC154" s="226">
        <f t="shared" si="33"/>
        <v>232.79999999999998</v>
      </c>
      <c r="AD154" s="226" t="str">
        <f t="shared" si="34"/>
        <v>4200-200</v>
      </c>
    </row>
    <row r="155" spans="2:30" ht="12.5">
      <c r="B155" s="336"/>
      <c r="C155" s="337"/>
      <c r="D155" s="302">
        <f>VLOOKUP(E155,'1.2-Jaarprijzen'!B:G,6,FALSE)</f>
        <v>1</v>
      </c>
      <c r="E155" s="522" t="s">
        <v>82</v>
      </c>
      <c r="F155" s="302" t="s">
        <v>272</v>
      </c>
      <c r="G155" s="525" t="s">
        <v>310</v>
      </c>
      <c r="H155" s="523" t="s">
        <v>329</v>
      </c>
      <c r="I155" s="303" t="str">
        <f t="shared" si="28"/>
        <v>sanitaire ruimte (toilet-/doucheruimte)</v>
      </c>
      <c r="J155" s="302" t="s">
        <v>229</v>
      </c>
      <c r="K155" s="304">
        <v>1.6755999999999998</v>
      </c>
      <c r="L155" s="304"/>
      <c r="M155" s="305">
        <v>4200</v>
      </c>
      <c r="N155" s="302"/>
      <c r="O155" s="306">
        <f t="shared" si="35"/>
        <v>200</v>
      </c>
      <c r="P155" s="472">
        <v>1</v>
      </c>
      <c r="Q155" s="472">
        <v>1</v>
      </c>
      <c r="R155" s="300">
        <f t="shared" si="36"/>
        <v>4.4908087655683424</v>
      </c>
      <c r="S155" s="300">
        <f t="shared" si="37"/>
        <v>0.79249566451206044</v>
      </c>
      <c r="T155" s="300">
        <f t="shared" si="38"/>
        <v>0</v>
      </c>
      <c r="U155" s="307">
        <f t="shared" si="30"/>
        <v>2.6801198171212359</v>
      </c>
      <c r="V155" s="307">
        <f t="shared" si="31"/>
        <v>0.4729623206684534</v>
      </c>
      <c r="W155" s="307">
        <f t="shared" si="32"/>
        <v>0</v>
      </c>
      <c r="X155" s="308" t="str">
        <f t="shared" si="39"/>
        <v>S</v>
      </c>
      <c r="Y155" s="309"/>
      <c r="Z155" s="310">
        <f>(R155+S155+T155)*'1.0-Contractblad'!$L$37</f>
        <v>160.44166111465537</v>
      </c>
      <c r="AA155" s="310">
        <f ca="1">VLOOKUP(E155,'1.2-Jaarprijzen'!$B$51:$Q$88,16,FALSE)*K155</f>
        <v>0</v>
      </c>
      <c r="AC155" s="226">
        <f t="shared" si="33"/>
        <v>335.11999999999995</v>
      </c>
      <c r="AD155" s="226" t="str">
        <f t="shared" si="34"/>
        <v>4200-200</v>
      </c>
    </row>
    <row r="156" spans="2:30" ht="12.5">
      <c r="B156" s="336"/>
      <c r="C156" s="337"/>
      <c r="D156" s="302">
        <f>VLOOKUP(E156,'1.2-Jaarprijzen'!B:G,6,FALSE)</f>
        <v>1</v>
      </c>
      <c r="E156" s="522" t="s">
        <v>82</v>
      </c>
      <c r="F156" s="302" t="s">
        <v>272</v>
      </c>
      <c r="G156" s="525" t="s">
        <v>312</v>
      </c>
      <c r="H156" s="523" t="s">
        <v>220</v>
      </c>
      <c r="I156" s="303" t="str">
        <f t="shared" si="28"/>
        <v>sanitaire ruimte (toilet-/doucheruimte)</v>
      </c>
      <c r="J156" s="302" t="s">
        <v>229</v>
      </c>
      <c r="K156" s="304">
        <v>1.1639999999999999</v>
      </c>
      <c r="L156" s="304"/>
      <c r="M156" s="305">
        <v>4200</v>
      </c>
      <c r="N156" s="302"/>
      <c r="O156" s="306">
        <f t="shared" si="35"/>
        <v>200</v>
      </c>
      <c r="P156" s="472">
        <v>1</v>
      </c>
      <c r="Q156" s="472">
        <v>1</v>
      </c>
      <c r="R156" s="300">
        <f t="shared" si="36"/>
        <v>3.1196594671291185</v>
      </c>
      <c r="S156" s="300">
        <f t="shared" si="37"/>
        <v>0.5505281412580797</v>
      </c>
      <c r="T156" s="300">
        <f t="shared" si="38"/>
        <v>0</v>
      </c>
      <c r="U156" s="307">
        <f t="shared" si="30"/>
        <v>2.6801198171212359</v>
      </c>
      <c r="V156" s="307">
        <f t="shared" si="31"/>
        <v>0.4729623206684534</v>
      </c>
      <c r="W156" s="307">
        <f t="shared" si="32"/>
        <v>0</v>
      </c>
      <c r="X156" s="308" t="str">
        <f t="shared" si="39"/>
        <v>S</v>
      </c>
      <c r="Y156" s="309"/>
      <c r="Z156" s="310">
        <f>(R156+S156+T156)*'1.0-Contractblad'!$L$37</f>
        <v>111.45505701686493</v>
      </c>
      <c r="AA156" s="310">
        <f ca="1">VLOOKUP(E156,'1.2-Jaarprijzen'!$B$51:$Q$88,16,FALSE)*K156</f>
        <v>0</v>
      </c>
      <c r="AC156" s="226">
        <f t="shared" si="33"/>
        <v>232.79999999999998</v>
      </c>
      <c r="AD156" s="226" t="str">
        <f t="shared" si="34"/>
        <v>4200-200</v>
      </c>
    </row>
    <row r="157" spans="2:30" ht="12.5">
      <c r="B157" s="336"/>
      <c r="C157" s="337"/>
      <c r="D157" s="302">
        <f>VLOOKUP(E157,'1.2-Jaarprijzen'!B:G,6,FALSE)</f>
        <v>1</v>
      </c>
      <c r="E157" s="522" t="s">
        <v>82</v>
      </c>
      <c r="F157" s="302" t="s">
        <v>368</v>
      </c>
      <c r="G157" s="525" t="s">
        <v>369</v>
      </c>
      <c r="H157" s="523" t="s">
        <v>277</v>
      </c>
      <c r="I157" s="303" t="str">
        <f t="shared" si="28"/>
        <v>entree, gang, hal, repro, kopieer, was/droogruimte</v>
      </c>
      <c r="J157" s="302" t="s">
        <v>229</v>
      </c>
      <c r="K157" s="304">
        <v>24.189999999999998</v>
      </c>
      <c r="L157" s="304"/>
      <c r="M157" s="305">
        <v>3200</v>
      </c>
      <c r="N157" s="302"/>
      <c r="O157" s="306">
        <f t="shared" si="35"/>
        <v>200</v>
      </c>
      <c r="P157" s="472">
        <v>1</v>
      </c>
      <c r="Q157" s="472">
        <v>1</v>
      </c>
      <c r="R157" s="300">
        <f t="shared" si="36"/>
        <v>9.1048216814076675</v>
      </c>
      <c r="S157" s="300">
        <f t="shared" si="37"/>
        <v>2.7462913223811176</v>
      </c>
      <c r="T157" s="300">
        <f t="shared" si="38"/>
        <v>0</v>
      </c>
      <c r="U157" s="307">
        <f t="shared" si="30"/>
        <v>0.37638783304703055</v>
      </c>
      <c r="V157" s="307">
        <f t="shared" si="31"/>
        <v>0.11353002572885977</v>
      </c>
      <c r="W157" s="307">
        <f t="shared" si="32"/>
        <v>0</v>
      </c>
      <c r="X157" s="308" t="str">
        <f t="shared" si="39"/>
        <v>V</v>
      </c>
      <c r="Y157" s="309"/>
      <c r="Z157" s="310">
        <f>(R157+S157+T157)*'1.0-Contractblad'!$L$37</f>
        <v>359.89072398700102</v>
      </c>
      <c r="AA157" s="310">
        <f ca="1">VLOOKUP(E157,'1.2-Jaarprijzen'!$B$51:$Q$88,16,FALSE)*K157</f>
        <v>0</v>
      </c>
      <c r="AC157" s="226">
        <f t="shared" si="33"/>
        <v>4838</v>
      </c>
      <c r="AD157" s="226" t="str">
        <f t="shared" si="34"/>
        <v>3200-200</v>
      </c>
    </row>
    <row r="158" spans="2:30" ht="12.5">
      <c r="B158" s="336"/>
      <c r="C158" s="337"/>
      <c r="D158" s="302">
        <f>VLOOKUP(E158,'1.2-Jaarprijzen'!B:G,6,FALSE)</f>
        <v>1</v>
      </c>
      <c r="E158" s="522" t="s">
        <v>82</v>
      </c>
      <c r="F158" s="302" t="s">
        <v>368</v>
      </c>
      <c r="G158" s="525" t="s">
        <v>370</v>
      </c>
      <c r="H158" s="523" t="s">
        <v>371</v>
      </c>
      <c r="I158" s="303" t="str">
        <f t="shared" si="28"/>
        <v>trappenhuis</v>
      </c>
      <c r="J158" s="302" t="s">
        <v>208</v>
      </c>
      <c r="K158" s="304">
        <v>12.6</v>
      </c>
      <c r="L158" s="304"/>
      <c r="M158" s="305">
        <v>9200</v>
      </c>
      <c r="N158" s="302"/>
      <c r="O158" s="306">
        <f t="shared" si="35"/>
        <v>200</v>
      </c>
      <c r="P158" s="472">
        <v>1</v>
      </c>
      <c r="Q158" s="472">
        <v>1</v>
      </c>
      <c r="R158" s="300">
        <f t="shared" si="36"/>
        <v>8.8921625557360962</v>
      </c>
      <c r="S158" s="300">
        <f t="shared" si="37"/>
        <v>0.55414926071978576</v>
      </c>
      <c r="T158" s="300">
        <f t="shared" si="38"/>
        <v>0</v>
      </c>
      <c r="U158" s="307">
        <f t="shared" si="30"/>
        <v>0.70572718696318226</v>
      </c>
      <c r="V158" s="307">
        <f t="shared" si="31"/>
        <v>4.3980100057125854E-2</v>
      </c>
      <c r="W158" s="307">
        <f t="shared" si="32"/>
        <v>0</v>
      </c>
      <c r="X158" s="308" t="str">
        <f t="shared" si="39"/>
        <v>V</v>
      </c>
      <c r="Y158" s="309"/>
      <c r="Z158" s="310">
        <f>(R158+S158+T158)*'1.0-Contractblad'!$L$37</f>
        <v>286.86250798084615</v>
      </c>
      <c r="AA158" s="310">
        <f ca="1">VLOOKUP(E158,'1.2-Jaarprijzen'!$B$51:$Q$88,16,FALSE)*K158</f>
        <v>0</v>
      </c>
      <c r="AC158" s="226">
        <f t="shared" si="33"/>
        <v>2520</v>
      </c>
      <c r="AD158" s="226" t="str">
        <f t="shared" si="34"/>
        <v>9200-200</v>
      </c>
    </row>
    <row r="159" spans="2:30" ht="12.5">
      <c r="B159" s="336"/>
      <c r="C159" s="337"/>
      <c r="D159" s="302">
        <f>VLOOKUP(E159,'1.2-Jaarprijzen'!B:G,6,FALSE)</f>
        <v>1</v>
      </c>
      <c r="E159" s="522" t="s">
        <v>82</v>
      </c>
      <c r="F159" s="302" t="s">
        <v>368</v>
      </c>
      <c r="G159" s="525" t="s">
        <v>372</v>
      </c>
      <c r="H159" s="523" t="s">
        <v>329</v>
      </c>
      <c r="I159" s="303" t="str">
        <f t="shared" si="28"/>
        <v>sanitaire ruimte (toilet-/doucheruimte)</v>
      </c>
      <c r="J159" s="302" t="s">
        <v>229</v>
      </c>
      <c r="K159" s="304">
        <v>8.4</v>
      </c>
      <c r="L159" s="304"/>
      <c r="M159" s="305">
        <v>4200</v>
      </c>
      <c r="N159" s="302"/>
      <c r="O159" s="306">
        <f t="shared" si="35"/>
        <v>200</v>
      </c>
      <c r="P159" s="472">
        <v>1</v>
      </c>
      <c r="Q159" s="472">
        <v>1</v>
      </c>
      <c r="R159" s="300">
        <f t="shared" si="36"/>
        <v>22.513006463818382</v>
      </c>
      <c r="S159" s="300">
        <f t="shared" si="37"/>
        <v>3.9728834936150088</v>
      </c>
      <c r="T159" s="300">
        <f t="shared" si="38"/>
        <v>0</v>
      </c>
      <c r="U159" s="307">
        <f t="shared" si="30"/>
        <v>2.6801198171212359</v>
      </c>
      <c r="V159" s="307">
        <f t="shared" si="31"/>
        <v>0.4729623206684534</v>
      </c>
      <c r="W159" s="307">
        <f t="shared" si="32"/>
        <v>0</v>
      </c>
      <c r="X159" s="308" t="str">
        <f t="shared" si="39"/>
        <v>S</v>
      </c>
      <c r="Y159" s="309"/>
      <c r="Z159" s="310">
        <f>(R159+S159+T159)*'1.0-Contractblad'!$L$37</f>
        <v>804.31484445160265</v>
      </c>
      <c r="AA159" s="310">
        <f ca="1">VLOOKUP(E159,'1.2-Jaarprijzen'!$B$51:$Q$88,16,FALSE)*K159</f>
        <v>0</v>
      </c>
      <c r="AC159" s="226">
        <f t="shared" si="33"/>
        <v>1680</v>
      </c>
      <c r="AD159" s="226" t="str">
        <f t="shared" si="34"/>
        <v>4200-200</v>
      </c>
    </row>
    <row r="160" spans="2:30" ht="12.5">
      <c r="B160" s="336"/>
      <c r="C160" s="337"/>
      <c r="D160" s="302">
        <f>VLOOKUP(E160,'1.2-Jaarprijzen'!B:G,6,FALSE)</f>
        <v>1</v>
      </c>
      <c r="E160" s="522" t="s">
        <v>82</v>
      </c>
      <c r="F160" s="302" t="s">
        <v>368</v>
      </c>
      <c r="G160" s="525" t="s">
        <v>373</v>
      </c>
      <c r="H160" s="523" t="s">
        <v>247</v>
      </c>
      <c r="I160" s="303" t="str">
        <f t="shared" si="28"/>
        <v>niet van toepassing</v>
      </c>
      <c r="J160" s="302"/>
      <c r="K160" s="304"/>
      <c r="L160" s="304">
        <v>1.2</v>
      </c>
      <c r="M160" s="305" t="s">
        <v>147</v>
      </c>
      <c r="N160" s="302"/>
      <c r="O160" s="306">
        <f t="shared" si="35"/>
        <v>0</v>
      </c>
      <c r="P160" s="472">
        <v>1</v>
      </c>
      <c r="Q160" s="472">
        <v>1</v>
      </c>
      <c r="R160" s="300">
        <f t="shared" si="36"/>
        <v>0</v>
      </c>
      <c r="S160" s="300">
        <f t="shared" si="37"/>
        <v>0</v>
      </c>
      <c r="T160" s="300">
        <f t="shared" si="38"/>
        <v>0</v>
      </c>
      <c r="U160" s="307">
        <f t="shared" si="30"/>
        <v>0</v>
      </c>
      <c r="V160" s="307">
        <f t="shared" si="31"/>
        <v>0</v>
      </c>
      <c r="W160" s="307">
        <f t="shared" si="32"/>
        <v>0</v>
      </c>
      <c r="X160" s="308">
        <f t="shared" si="39"/>
        <v>0</v>
      </c>
      <c r="Y160" s="309"/>
      <c r="Z160" s="310">
        <f>(R160+S160+T160)*'1.0-Contractblad'!$L$37</f>
        <v>0</v>
      </c>
      <c r="AA160" s="310">
        <f ca="1">VLOOKUP(E160,'1.2-Jaarprijzen'!$B$51:$Q$88,16,FALSE)*K160</f>
        <v>0</v>
      </c>
      <c r="AC160" s="226">
        <f t="shared" si="33"/>
        <v>0</v>
      </c>
      <c r="AD160" s="226" t="str">
        <f t="shared" si="34"/>
        <v>nvt-0</v>
      </c>
    </row>
    <row r="161" spans="2:30" ht="12.5">
      <c r="B161" s="336"/>
      <c r="C161" s="337"/>
      <c r="D161" s="302">
        <f>VLOOKUP(E161,'1.2-Jaarprijzen'!B:G,6,FALSE)</f>
        <v>1</v>
      </c>
      <c r="E161" s="522" t="s">
        <v>82</v>
      </c>
      <c r="F161" s="302" t="s">
        <v>368</v>
      </c>
      <c r="G161" s="525" t="s">
        <v>374</v>
      </c>
      <c r="H161" s="523" t="s">
        <v>280</v>
      </c>
      <c r="I161" s="303" t="str">
        <f t="shared" si="28"/>
        <v>entree, gang, hal, repro, kopieer, was/droogruimte</v>
      </c>
      <c r="J161" s="302" t="s">
        <v>229</v>
      </c>
      <c r="K161" s="304">
        <v>53.279999999999994</v>
      </c>
      <c r="L161" s="304"/>
      <c r="M161" s="305">
        <v>3200</v>
      </c>
      <c r="N161" s="302"/>
      <c r="O161" s="306">
        <f t="shared" si="35"/>
        <v>200</v>
      </c>
      <c r="P161" s="472">
        <v>1</v>
      </c>
      <c r="Q161" s="472">
        <v>1</v>
      </c>
      <c r="R161" s="300">
        <f t="shared" si="36"/>
        <v>20.053943744745787</v>
      </c>
      <c r="S161" s="300">
        <f t="shared" si="37"/>
        <v>6.0488797708336479</v>
      </c>
      <c r="T161" s="300">
        <f t="shared" si="38"/>
        <v>0</v>
      </c>
      <c r="U161" s="307">
        <f t="shared" si="30"/>
        <v>0.37638783304703055</v>
      </c>
      <c r="V161" s="307">
        <f t="shared" si="31"/>
        <v>0.11353002572885977</v>
      </c>
      <c r="W161" s="307">
        <f t="shared" si="32"/>
        <v>0</v>
      </c>
      <c r="X161" s="308" t="str">
        <f t="shared" si="39"/>
        <v>V</v>
      </c>
      <c r="Y161" s="309"/>
      <c r="Z161" s="310">
        <f>(R161+S161+T161)*'1.0-Contractblad'!$L$37</f>
        <v>792.68200802097624</v>
      </c>
      <c r="AA161" s="310">
        <f ca="1">VLOOKUP(E161,'1.2-Jaarprijzen'!$B$51:$Q$88,16,FALSE)*K161</f>
        <v>0</v>
      </c>
      <c r="AC161" s="226">
        <f t="shared" si="33"/>
        <v>10655.999999999998</v>
      </c>
      <c r="AD161" s="226" t="str">
        <f t="shared" si="34"/>
        <v>3200-200</v>
      </c>
    </row>
    <row r="162" spans="2:30" ht="12.5">
      <c r="B162" s="336"/>
      <c r="C162" s="337"/>
      <c r="D162" s="302">
        <f>VLOOKUP(E162,'1.2-Jaarprijzen'!B:G,6,FALSE)</f>
        <v>1</v>
      </c>
      <c r="E162" s="522" t="s">
        <v>82</v>
      </c>
      <c r="F162" s="302" t="s">
        <v>368</v>
      </c>
      <c r="G162" s="525" t="s">
        <v>375</v>
      </c>
      <c r="H162" s="523" t="s">
        <v>365</v>
      </c>
      <c r="I162" s="303" t="str">
        <f t="shared" si="28"/>
        <v>niet van toepassing</v>
      </c>
      <c r="J162" s="302"/>
      <c r="K162" s="304"/>
      <c r="L162" s="304">
        <v>4.42</v>
      </c>
      <c r="M162" s="305" t="s">
        <v>147</v>
      </c>
      <c r="N162" s="302"/>
      <c r="O162" s="306">
        <f t="shared" si="35"/>
        <v>0</v>
      </c>
      <c r="P162" s="472">
        <v>1</v>
      </c>
      <c r="Q162" s="472">
        <v>1</v>
      </c>
      <c r="R162" s="300">
        <f t="shared" si="36"/>
        <v>0</v>
      </c>
      <c r="S162" s="300">
        <f t="shared" si="37"/>
        <v>0</v>
      </c>
      <c r="T162" s="300">
        <f t="shared" si="38"/>
        <v>0</v>
      </c>
      <c r="U162" s="307">
        <f t="shared" si="30"/>
        <v>0</v>
      </c>
      <c r="V162" s="307">
        <f t="shared" si="31"/>
        <v>0</v>
      </c>
      <c r="W162" s="307">
        <f t="shared" si="32"/>
        <v>0</v>
      </c>
      <c r="X162" s="308">
        <f t="shared" si="39"/>
        <v>0</v>
      </c>
      <c r="Y162" s="309"/>
      <c r="Z162" s="310">
        <f>(R162+S162+T162)*'1.0-Contractblad'!$L$37</f>
        <v>0</v>
      </c>
      <c r="AA162" s="310">
        <f ca="1">VLOOKUP(E162,'1.2-Jaarprijzen'!$B$51:$Q$88,16,FALSE)*K162</f>
        <v>0</v>
      </c>
      <c r="AC162" s="226">
        <f t="shared" si="33"/>
        <v>0</v>
      </c>
      <c r="AD162" s="226" t="str">
        <f t="shared" si="34"/>
        <v>nvt-0</v>
      </c>
    </row>
    <row r="163" spans="2:30" ht="12.5">
      <c r="B163" s="336"/>
      <c r="C163" s="337"/>
      <c r="D163" s="302">
        <f>VLOOKUP(E163,'1.2-Jaarprijzen'!B:G,6,FALSE)</f>
        <v>1</v>
      </c>
      <c r="E163" s="522" t="s">
        <v>82</v>
      </c>
      <c r="F163" s="302" t="s">
        <v>368</v>
      </c>
      <c r="G163" s="525" t="s">
        <v>376</v>
      </c>
      <c r="H163" s="523" t="s">
        <v>324</v>
      </c>
      <c r="I163" s="303" t="str">
        <f t="shared" si="28"/>
        <v>praktijklokaal</v>
      </c>
      <c r="J163" s="302" t="s">
        <v>229</v>
      </c>
      <c r="K163" s="304">
        <v>19.510000000000002</v>
      </c>
      <c r="L163" s="304"/>
      <c r="M163" s="305">
        <v>6200</v>
      </c>
      <c r="N163" s="302"/>
      <c r="O163" s="306">
        <f t="shared" si="35"/>
        <v>200</v>
      </c>
      <c r="P163" s="472">
        <v>1</v>
      </c>
      <c r="Q163" s="472">
        <v>1</v>
      </c>
      <c r="R163" s="300">
        <f t="shared" si="36"/>
        <v>8.1704486024021481</v>
      </c>
      <c r="S163" s="300">
        <f t="shared" si="37"/>
        <v>2.3346989534278948</v>
      </c>
      <c r="T163" s="300">
        <f t="shared" si="38"/>
        <v>0</v>
      </c>
      <c r="U163" s="307">
        <f t="shared" si="30"/>
        <v>0.41878260391605066</v>
      </c>
      <c r="V163" s="307">
        <f t="shared" si="31"/>
        <v>0.1196667838763657</v>
      </c>
      <c r="W163" s="307">
        <f t="shared" si="32"/>
        <v>0</v>
      </c>
      <c r="X163" s="308" t="str">
        <f t="shared" si="39"/>
        <v>L</v>
      </c>
      <c r="Y163" s="309"/>
      <c r="Z163" s="310">
        <f>(R163+S163+T163)*'1.0-Contractblad'!$L$37</f>
        <v>319.01688543930527</v>
      </c>
      <c r="AA163" s="310">
        <f ca="1">VLOOKUP(E163,'1.2-Jaarprijzen'!$B$51:$Q$88,16,FALSE)*K163</f>
        <v>0</v>
      </c>
      <c r="AC163" s="226">
        <f t="shared" si="33"/>
        <v>3902.0000000000005</v>
      </c>
      <c r="AD163" s="226" t="str">
        <f t="shared" si="34"/>
        <v>6200-200</v>
      </c>
    </row>
    <row r="164" spans="2:30" ht="12.5">
      <c r="B164" s="336"/>
      <c r="C164" s="337"/>
      <c r="D164" s="302">
        <f>VLOOKUP(E164,'1.2-Jaarprijzen'!B:G,6,FALSE)</f>
        <v>1</v>
      </c>
      <c r="E164" s="522" t="s">
        <v>82</v>
      </c>
      <c r="F164" s="302" t="s">
        <v>368</v>
      </c>
      <c r="G164" s="525" t="s">
        <v>377</v>
      </c>
      <c r="H164" s="523" t="s">
        <v>378</v>
      </c>
      <c r="I164" s="303" t="str">
        <f t="shared" si="28"/>
        <v>administratieve -, personeels- en vergaderruimte</v>
      </c>
      <c r="J164" s="302" t="s">
        <v>229</v>
      </c>
      <c r="K164" s="304">
        <v>14.32</v>
      </c>
      <c r="L164" s="304"/>
      <c r="M164" s="305">
        <v>1080</v>
      </c>
      <c r="N164" s="302"/>
      <c r="O164" s="306">
        <f t="shared" si="35"/>
        <v>80</v>
      </c>
      <c r="P164" s="472">
        <v>1</v>
      </c>
      <c r="Q164" s="472">
        <v>1</v>
      </c>
      <c r="R164" s="300">
        <f t="shared" si="36"/>
        <v>2.9961846153846157</v>
      </c>
      <c r="S164" s="300">
        <f t="shared" si="37"/>
        <v>0.5287384615384616</v>
      </c>
      <c r="T164" s="300">
        <f t="shared" si="38"/>
        <v>0</v>
      </c>
      <c r="U164" s="307">
        <f t="shared" si="30"/>
        <v>0.20923076923076925</v>
      </c>
      <c r="V164" s="307">
        <f t="shared" si="31"/>
        <v>3.6923076923076927E-2</v>
      </c>
      <c r="W164" s="307">
        <f t="shared" si="32"/>
        <v>0</v>
      </c>
      <c r="X164" s="308" t="str">
        <f t="shared" si="39"/>
        <v>V</v>
      </c>
      <c r="Y164" s="309"/>
      <c r="Z164" s="310">
        <f>(R164+S164+T164)*'1.0-Contractblad'!$L$37</f>
        <v>107.04371123174404</v>
      </c>
      <c r="AA164" s="310">
        <f ca="1">VLOOKUP(E164,'1.2-Jaarprijzen'!$B$51:$Q$88,16,FALSE)*K164</f>
        <v>0</v>
      </c>
      <c r="AC164" s="226">
        <f t="shared" si="33"/>
        <v>1145.5999999999999</v>
      </c>
      <c r="AD164" s="226" t="str">
        <f t="shared" si="34"/>
        <v>1080-80</v>
      </c>
    </row>
    <row r="165" spans="2:30" ht="12.5">
      <c r="B165" s="336"/>
      <c r="C165" s="337"/>
      <c r="D165" s="302">
        <f>VLOOKUP(E165,'1.2-Jaarprijzen'!B:G,6,FALSE)</f>
        <v>1</v>
      </c>
      <c r="E165" s="522" t="s">
        <v>82</v>
      </c>
      <c r="F165" s="302" t="s">
        <v>368</v>
      </c>
      <c r="G165" s="525" t="s">
        <v>379</v>
      </c>
      <c r="H165" s="524" t="s">
        <v>275</v>
      </c>
      <c r="I165" s="303" t="str">
        <f t="shared" si="28"/>
        <v>administratieve -, personeels- en vergaderruimte</v>
      </c>
      <c r="J165" s="302" t="s">
        <v>229</v>
      </c>
      <c r="K165" s="304">
        <v>14.32</v>
      </c>
      <c r="L165" s="304"/>
      <c r="M165" s="305">
        <v>1080</v>
      </c>
      <c r="N165" s="302"/>
      <c r="O165" s="306">
        <f t="shared" si="35"/>
        <v>80</v>
      </c>
      <c r="P165" s="472">
        <v>1</v>
      </c>
      <c r="Q165" s="472">
        <v>1</v>
      </c>
      <c r="R165" s="300">
        <f t="shared" si="36"/>
        <v>2.9961846153846157</v>
      </c>
      <c r="S165" s="300">
        <f t="shared" si="37"/>
        <v>0.5287384615384616</v>
      </c>
      <c r="T165" s="300">
        <f t="shared" si="38"/>
        <v>0</v>
      </c>
      <c r="U165" s="307">
        <f t="shared" si="30"/>
        <v>0.20923076923076925</v>
      </c>
      <c r="V165" s="307">
        <f t="shared" si="31"/>
        <v>3.6923076923076927E-2</v>
      </c>
      <c r="W165" s="307">
        <f t="shared" si="32"/>
        <v>0</v>
      </c>
      <c r="X165" s="308" t="str">
        <f t="shared" si="39"/>
        <v>V</v>
      </c>
      <c r="Y165" s="309"/>
      <c r="Z165" s="310">
        <f>(R165+S165+T165)*'1.0-Contractblad'!$L$37</f>
        <v>107.04371123174404</v>
      </c>
      <c r="AA165" s="310">
        <f ca="1">VLOOKUP(E165,'1.2-Jaarprijzen'!$B$51:$Q$88,16,FALSE)*K165</f>
        <v>0</v>
      </c>
      <c r="AC165" s="226">
        <f t="shared" si="33"/>
        <v>1145.5999999999999</v>
      </c>
      <c r="AD165" s="226" t="str">
        <f t="shared" si="34"/>
        <v>1080-80</v>
      </c>
    </row>
    <row r="166" spans="2:30" ht="12.5">
      <c r="B166" s="336"/>
      <c r="C166" s="337"/>
      <c r="D166" s="302">
        <f>VLOOKUP(E166,'1.2-Jaarprijzen'!B:G,6,FALSE)</f>
        <v>1</v>
      </c>
      <c r="E166" s="522" t="s">
        <v>82</v>
      </c>
      <c r="F166" s="302" t="s">
        <v>368</v>
      </c>
      <c r="G166" s="525" t="s">
        <v>380</v>
      </c>
      <c r="H166" s="523" t="s">
        <v>323</v>
      </c>
      <c r="I166" s="303" t="str">
        <f t="shared" si="28"/>
        <v>entree, gang, hal, repro, kopieer, was/droogruimte</v>
      </c>
      <c r="J166" s="302" t="s">
        <v>229</v>
      </c>
      <c r="K166" s="304">
        <v>65.36</v>
      </c>
      <c r="L166" s="304"/>
      <c r="M166" s="305">
        <v>3200</v>
      </c>
      <c r="N166" s="302"/>
      <c r="O166" s="306">
        <f t="shared" si="35"/>
        <v>200</v>
      </c>
      <c r="P166" s="472">
        <v>1</v>
      </c>
      <c r="Q166" s="472">
        <v>1</v>
      </c>
      <c r="R166" s="300">
        <f t="shared" si="36"/>
        <v>24.600708767953918</v>
      </c>
      <c r="S166" s="300">
        <f t="shared" si="37"/>
        <v>7.4203224816382747</v>
      </c>
      <c r="T166" s="300">
        <f t="shared" si="38"/>
        <v>0</v>
      </c>
      <c r="U166" s="307">
        <f t="shared" si="30"/>
        <v>0.37638783304703055</v>
      </c>
      <c r="V166" s="307">
        <f t="shared" si="31"/>
        <v>0.11353002572885977</v>
      </c>
      <c r="W166" s="307">
        <f t="shared" si="32"/>
        <v>0</v>
      </c>
      <c r="X166" s="308" t="str">
        <f t="shared" si="39"/>
        <v>V</v>
      </c>
      <c r="Y166" s="309"/>
      <c r="Z166" s="310">
        <f>(R166+S166+T166)*'1.0-Contractblad'!$L$37</f>
        <v>972.40420503474115</v>
      </c>
      <c r="AA166" s="310">
        <f ca="1">VLOOKUP(E166,'1.2-Jaarprijzen'!$B$51:$Q$88,16,FALSE)*K166</f>
        <v>0</v>
      </c>
      <c r="AC166" s="226">
        <f t="shared" si="33"/>
        <v>13072</v>
      </c>
      <c r="AD166" s="226" t="str">
        <f t="shared" si="34"/>
        <v>3200-200</v>
      </c>
    </row>
    <row r="167" spans="2:30" ht="12.5">
      <c r="B167" s="336"/>
      <c r="C167" s="337"/>
      <c r="D167" s="302">
        <f>VLOOKUP(E167,'1.2-Jaarprijzen'!B:G,6,FALSE)</f>
        <v>1</v>
      </c>
      <c r="E167" s="522" t="s">
        <v>82</v>
      </c>
      <c r="F167" s="302" t="s">
        <v>368</v>
      </c>
      <c r="G167" s="525" t="s">
        <v>381</v>
      </c>
      <c r="H167" s="523" t="s">
        <v>371</v>
      </c>
      <c r="I167" s="303" t="str">
        <f t="shared" si="28"/>
        <v>trappenhuis</v>
      </c>
      <c r="J167" s="302" t="s">
        <v>208</v>
      </c>
      <c r="K167" s="304">
        <v>13.2</v>
      </c>
      <c r="L167" s="304"/>
      <c r="M167" s="305">
        <v>9200</v>
      </c>
      <c r="N167" s="302"/>
      <c r="O167" s="306">
        <f t="shared" si="35"/>
        <v>200</v>
      </c>
      <c r="P167" s="472">
        <v>1</v>
      </c>
      <c r="Q167" s="472">
        <v>1</v>
      </c>
      <c r="R167" s="300">
        <f t="shared" si="36"/>
        <v>9.3155988679140052</v>
      </c>
      <c r="S167" s="300">
        <f t="shared" si="37"/>
        <v>0.58053732075406128</v>
      </c>
      <c r="T167" s="300">
        <f t="shared" si="38"/>
        <v>0</v>
      </c>
      <c r="U167" s="307">
        <f t="shared" ref="U167:U179" si="45">IF($M167=0,0,VLOOKUP($M167,Kengetal,6,FALSE))</f>
        <v>0.70572718696318226</v>
      </c>
      <c r="V167" s="307">
        <f t="shared" ref="V167:V179" si="46">IF($M167=0,0,VLOOKUP($M167,Kengetal,7,FALSE))</f>
        <v>4.3980100057125854E-2</v>
      </c>
      <c r="W167" s="307">
        <f t="shared" ref="W167:W179" si="47">IF($N167=0,0,VLOOKUP($N167,Kengetal,6,FALSE))</f>
        <v>0</v>
      </c>
      <c r="X167" s="308" t="str">
        <f t="shared" si="39"/>
        <v>V</v>
      </c>
      <c r="Y167" s="309"/>
      <c r="Z167" s="310">
        <f>(R167+S167+T167)*'1.0-Contractblad'!$L$37</f>
        <v>300.52262740850546</v>
      </c>
      <c r="AA167" s="310">
        <f ca="1">VLOOKUP(E167,'1.2-Jaarprijzen'!$B$51:$Q$88,16,FALSE)*K167</f>
        <v>0</v>
      </c>
      <c r="AC167" s="226">
        <f t="shared" si="33"/>
        <v>2640</v>
      </c>
      <c r="AD167" s="226" t="str">
        <f t="shared" si="34"/>
        <v>9200-200</v>
      </c>
    </row>
    <row r="168" spans="2:30" ht="12.5">
      <c r="B168" s="336"/>
      <c r="C168" s="337"/>
      <c r="D168" s="302">
        <f>VLOOKUP(E168,'1.2-Jaarprijzen'!B:G,6,FALSE)</f>
        <v>1</v>
      </c>
      <c r="E168" s="522" t="s">
        <v>82</v>
      </c>
      <c r="F168" s="302" t="s">
        <v>368</v>
      </c>
      <c r="G168" s="525" t="s">
        <v>382</v>
      </c>
      <c r="H168" s="523" t="s">
        <v>328</v>
      </c>
      <c r="I168" s="303" t="str">
        <f t="shared" si="28"/>
        <v>leslokaal/leerplein</v>
      </c>
      <c r="J168" s="302" t="s">
        <v>229</v>
      </c>
      <c r="K168" s="304">
        <v>50.73</v>
      </c>
      <c r="L168" s="304"/>
      <c r="M168" s="305">
        <v>7200</v>
      </c>
      <c r="N168" s="302"/>
      <c r="O168" s="306">
        <f t="shared" si="35"/>
        <v>200</v>
      </c>
      <c r="P168" s="472">
        <v>1</v>
      </c>
      <c r="Q168" s="472">
        <v>1</v>
      </c>
      <c r="R168" s="300">
        <f t="shared" si="36"/>
        <v>26.535692307692308</v>
      </c>
      <c r="S168" s="300">
        <f t="shared" si="37"/>
        <v>4.6827692307692308</v>
      </c>
      <c r="T168" s="300">
        <f t="shared" si="38"/>
        <v>0</v>
      </c>
      <c r="U168" s="307">
        <f t="shared" si="45"/>
        <v>0.52307692307692311</v>
      </c>
      <c r="V168" s="307">
        <f t="shared" si="46"/>
        <v>9.2307692307692313E-2</v>
      </c>
      <c r="W168" s="307">
        <f t="shared" si="47"/>
        <v>0</v>
      </c>
      <c r="X168" s="308" t="str">
        <f t="shared" si="39"/>
        <v>L</v>
      </c>
      <c r="Y168" s="309"/>
      <c r="Z168" s="310">
        <f>(R168+S168+T168)*'1.0-Contractblad'!$L$37</f>
        <v>948.03203051438118</v>
      </c>
      <c r="AA168" s="310">
        <f ca="1">VLOOKUP(E168,'1.2-Jaarprijzen'!$B$51:$Q$88,16,FALSE)*K168</f>
        <v>0</v>
      </c>
      <c r="AC168" s="226">
        <f t="shared" si="33"/>
        <v>10146</v>
      </c>
      <c r="AD168" s="226" t="str">
        <f t="shared" si="34"/>
        <v>7200-200</v>
      </c>
    </row>
    <row r="169" spans="2:30" ht="12.5">
      <c r="B169" s="336"/>
      <c r="C169" s="337"/>
      <c r="D169" s="302">
        <f>VLOOKUP(E169,'1.2-Jaarprijzen'!B:G,6,FALSE)</f>
        <v>1</v>
      </c>
      <c r="E169" s="522" t="s">
        <v>82</v>
      </c>
      <c r="F169" s="302" t="s">
        <v>368</v>
      </c>
      <c r="G169" s="525" t="s">
        <v>383</v>
      </c>
      <c r="H169" s="523" t="s">
        <v>328</v>
      </c>
      <c r="I169" s="303" t="str">
        <f t="shared" si="28"/>
        <v>leslokaal/leerplein</v>
      </c>
      <c r="J169" s="302" t="s">
        <v>229</v>
      </c>
      <c r="K169" s="304">
        <v>50.73</v>
      </c>
      <c r="L169" s="304"/>
      <c r="M169" s="305">
        <v>7200</v>
      </c>
      <c r="N169" s="302"/>
      <c r="O169" s="306">
        <f t="shared" si="35"/>
        <v>200</v>
      </c>
      <c r="P169" s="472">
        <v>1</v>
      </c>
      <c r="Q169" s="472">
        <v>1</v>
      </c>
      <c r="R169" s="300">
        <f t="shared" si="36"/>
        <v>26.535692307692308</v>
      </c>
      <c r="S169" s="300">
        <f t="shared" si="37"/>
        <v>4.6827692307692308</v>
      </c>
      <c r="T169" s="300">
        <f t="shared" si="38"/>
        <v>0</v>
      </c>
      <c r="U169" s="307">
        <f t="shared" si="45"/>
        <v>0.52307692307692311</v>
      </c>
      <c r="V169" s="307">
        <f t="shared" si="46"/>
        <v>9.2307692307692313E-2</v>
      </c>
      <c r="W169" s="307">
        <f t="shared" si="47"/>
        <v>0</v>
      </c>
      <c r="X169" s="308" t="str">
        <f t="shared" si="39"/>
        <v>L</v>
      </c>
      <c r="Y169" s="309"/>
      <c r="Z169" s="310">
        <f>(R169+S169+T169)*'1.0-Contractblad'!$L$37</f>
        <v>948.03203051438118</v>
      </c>
      <c r="AA169" s="310">
        <f ca="1">VLOOKUP(E169,'1.2-Jaarprijzen'!$B$51:$Q$88,16,FALSE)*K169</f>
        <v>0</v>
      </c>
      <c r="AC169" s="226">
        <f t="shared" si="33"/>
        <v>10146</v>
      </c>
      <c r="AD169" s="226" t="str">
        <f t="shared" si="34"/>
        <v>7200-200</v>
      </c>
    </row>
    <row r="170" spans="2:30" ht="12.5">
      <c r="B170" s="336"/>
      <c r="C170" s="337"/>
      <c r="D170" s="302">
        <f>VLOOKUP(E170,'1.2-Jaarprijzen'!B:G,6,FALSE)</f>
        <v>1</v>
      </c>
      <c r="E170" s="522" t="s">
        <v>82</v>
      </c>
      <c r="F170" s="302" t="s">
        <v>368</v>
      </c>
      <c r="G170" s="525" t="s">
        <v>384</v>
      </c>
      <c r="H170" s="523" t="s">
        <v>328</v>
      </c>
      <c r="I170" s="303" t="str">
        <f t="shared" si="28"/>
        <v>leslokaal/leerplein</v>
      </c>
      <c r="J170" s="302" t="s">
        <v>229</v>
      </c>
      <c r="K170" s="304">
        <v>50.73</v>
      </c>
      <c r="L170" s="304"/>
      <c r="M170" s="305">
        <v>7200</v>
      </c>
      <c r="N170" s="302"/>
      <c r="O170" s="306">
        <f t="shared" si="35"/>
        <v>200</v>
      </c>
      <c r="P170" s="472">
        <v>1</v>
      </c>
      <c r="Q170" s="472">
        <v>1</v>
      </c>
      <c r="R170" s="300">
        <f t="shared" si="36"/>
        <v>26.535692307692308</v>
      </c>
      <c r="S170" s="300">
        <f t="shared" si="37"/>
        <v>4.6827692307692308</v>
      </c>
      <c r="T170" s="300">
        <f t="shared" si="38"/>
        <v>0</v>
      </c>
      <c r="U170" s="307">
        <f t="shared" si="45"/>
        <v>0.52307692307692311</v>
      </c>
      <c r="V170" s="307">
        <f t="shared" si="46"/>
        <v>9.2307692307692313E-2</v>
      </c>
      <c r="W170" s="307">
        <f t="shared" si="47"/>
        <v>0</v>
      </c>
      <c r="X170" s="308" t="str">
        <f t="shared" si="39"/>
        <v>L</v>
      </c>
      <c r="Y170" s="309"/>
      <c r="Z170" s="310">
        <f>(R170+S170+T170)*'1.0-Contractblad'!$L$37</f>
        <v>948.03203051438118</v>
      </c>
      <c r="AA170" s="310">
        <f ca="1">VLOOKUP(E170,'1.2-Jaarprijzen'!$B$51:$Q$88,16,FALSE)*K170</f>
        <v>0</v>
      </c>
      <c r="AC170" s="226">
        <f t="shared" ref="AC170:AC233" si="48">K170*O170</f>
        <v>10146</v>
      </c>
      <c r="AD170" s="226" t="str">
        <f t="shared" ref="AD170:AD233" si="49">CONCATENATE(M170,"-",O170)</f>
        <v>7200-200</v>
      </c>
    </row>
    <row r="171" spans="2:30" ht="12.5">
      <c r="B171" s="336"/>
      <c r="C171" s="337"/>
      <c r="D171" s="302">
        <f>VLOOKUP(E171,'1.2-Jaarprijzen'!B:G,6,FALSE)</f>
        <v>1</v>
      </c>
      <c r="E171" s="522" t="s">
        <v>82</v>
      </c>
      <c r="F171" s="302" t="s">
        <v>368</v>
      </c>
      <c r="G171" s="525" t="s">
        <v>385</v>
      </c>
      <c r="H171" s="523" t="s">
        <v>328</v>
      </c>
      <c r="I171" s="303" t="str">
        <f t="shared" si="28"/>
        <v>leslokaal/leerplein</v>
      </c>
      <c r="J171" s="302" t="s">
        <v>229</v>
      </c>
      <c r="K171" s="304">
        <v>50.73</v>
      </c>
      <c r="L171" s="304"/>
      <c r="M171" s="305">
        <v>7200</v>
      </c>
      <c r="N171" s="302"/>
      <c r="O171" s="306">
        <f t="shared" si="35"/>
        <v>200</v>
      </c>
      <c r="P171" s="472">
        <v>1</v>
      </c>
      <c r="Q171" s="472">
        <v>1</v>
      </c>
      <c r="R171" s="300">
        <f t="shared" si="36"/>
        <v>26.535692307692308</v>
      </c>
      <c r="S171" s="300">
        <f t="shared" si="37"/>
        <v>4.6827692307692308</v>
      </c>
      <c r="T171" s="300">
        <f t="shared" si="38"/>
        <v>0</v>
      </c>
      <c r="U171" s="307">
        <f t="shared" si="45"/>
        <v>0.52307692307692311</v>
      </c>
      <c r="V171" s="307">
        <f t="shared" si="46"/>
        <v>9.2307692307692313E-2</v>
      </c>
      <c r="W171" s="307">
        <f t="shared" si="47"/>
        <v>0</v>
      </c>
      <c r="X171" s="308" t="str">
        <f t="shared" si="39"/>
        <v>L</v>
      </c>
      <c r="Y171" s="309"/>
      <c r="Z171" s="310">
        <f>(R171+S171+T171)*'1.0-Contractblad'!$L$37</f>
        <v>948.03203051438118</v>
      </c>
      <c r="AA171" s="310">
        <f ca="1">VLOOKUP(E171,'1.2-Jaarprijzen'!$B$51:$Q$88,16,FALSE)*K171</f>
        <v>0</v>
      </c>
      <c r="AC171" s="226">
        <f t="shared" si="48"/>
        <v>10146</v>
      </c>
      <c r="AD171" s="226" t="str">
        <f t="shared" si="49"/>
        <v>7200-200</v>
      </c>
    </row>
    <row r="172" spans="2:30" ht="12.5">
      <c r="B172" s="336"/>
      <c r="C172" s="337"/>
      <c r="D172" s="302">
        <f>VLOOKUP(E172,'1.2-Jaarprijzen'!B:G,6,FALSE)</f>
        <v>1</v>
      </c>
      <c r="E172" s="522" t="s">
        <v>82</v>
      </c>
      <c r="F172" s="302" t="s">
        <v>368</v>
      </c>
      <c r="G172" s="525" t="s">
        <v>386</v>
      </c>
      <c r="H172" s="523" t="s">
        <v>220</v>
      </c>
      <c r="I172" s="303" t="str">
        <f t="shared" si="28"/>
        <v>sanitaire ruimte (toilet-/doucheruimte)</v>
      </c>
      <c r="J172" s="302" t="s">
        <v>229</v>
      </c>
      <c r="K172" s="304">
        <v>1.1639999999999999</v>
      </c>
      <c r="L172" s="304"/>
      <c r="M172" s="305">
        <v>4200</v>
      </c>
      <c r="N172" s="302"/>
      <c r="O172" s="306">
        <f t="shared" si="35"/>
        <v>200</v>
      </c>
      <c r="P172" s="472">
        <v>1</v>
      </c>
      <c r="Q172" s="472">
        <v>1</v>
      </c>
      <c r="R172" s="300">
        <f t="shared" si="36"/>
        <v>3.1196594671291185</v>
      </c>
      <c r="S172" s="300">
        <f t="shared" si="37"/>
        <v>0.5505281412580797</v>
      </c>
      <c r="T172" s="300">
        <f t="shared" si="38"/>
        <v>0</v>
      </c>
      <c r="U172" s="307">
        <f t="shared" si="45"/>
        <v>2.6801198171212359</v>
      </c>
      <c r="V172" s="307">
        <f t="shared" si="46"/>
        <v>0.4729623206684534</v>
      </c>
      <c r="W172" s="307">
        <f t="shared" si="47"/>
        <v>0</v>
      </c>
      <c r="X172" s="308" t="str">
        <f t="shared" si="39"/>
        <v>S</v>
      </c>
      <c r="Y172" s="309"/>
      <c r="Z172" s="310">
        <f>(R172+S172+T172)*'1.0-Contractblad'!$L$37</f>
        <v>111.45505701686493</v>
      </c>
      <c r="AA172" s="310">
        <f ca="1">VLOOKUP(E172,'1.2-Jaarprijzen'!$B$51:$Q$88,16,FALSE)*K172</f>
        <v>0</v>
      </c>
      <c r="AC172" s="226">
        <f t="shared" si="48"/>
        <v>232.79999999999998</v>
      </c>
      <c r="AD172" s="226" t="str">
        <f t="shared" si="49"/>
        <v>4200-200</v>
      </c>
    </row>
    <row r="173" spans="2:30" ht="12.5">
      <c r="B173" s="336"/>
      <c r="C173" s="337"/>
      <c r="D173" s="302">
        <f>VLOOKUP(E173,'1.2-Jaarprijzen'!B:G,6,FALSE)</f>
        <v>1</v>
      </c>
      <c r="E173" s="522" t="s">
        <v>82</v>
      </c>
      <c r="F173" s="302" t="s">
        <v>368</v>
      </c>
      <c r="G173" s="525" t="s">
        <v>387</v>
      </c>
      <c r="H173" s="523" t="s">
        <v>329</v>
      </c>
      <c r="I173" s="303" t="str">
        <f t="shared" si="28"/>
        <v>sanitaire ruimte (toilet-/doucheruimte)</v>
      </c>
      <c r="J173" s="302" t="s">
        <v>229</v>
      </c>
      <c r="K173" s="304">
        <v>3.9439999999999995</v>
      </c>
      <c r="L173" s="304"/>
      <c r="M173" s="305">
        <v>4200</v>
      </c>
      <c r="N173" s="302"/>
      <c r="O173" s="306">
        <f t="shared" si="35"/>
        <v>200</v>
      </c>
      <c r="P173" s="472">
        <v>1</v>
      </c>
      <c r="Q173" s="472">
        <v>1</v>
      </c>
      <c r="R173" s="300">
        <f t="shared" si="36"/>
        <v>10.570392558726153</v>
      </c>
      <c r="S173" s="300">
        <f t="shared" si="37"/>
        <v>1.86536339271638</v>
      </c>
      <c r="T173" s="300">
        <f t="shared" si="38"/>
        <v>0</v>
      </c>
      <c r="U173" s="307">
        <f t="shared" si="45"/>
        <v>2.6801198171212359</v>
      </c>
      <c r="V173" s="307">
        <f t="shared" si="46"/>
        <v>0.4729623206684534</v>
      </c>
      <c r="W173" s="307">
        <f t="shared" si="47"/>
        <v>0</v>
      </c>
      <c r="X173" s="308" t="str">
        <f t="shared" si="39"/>
        <v>S</v>
      </c>
      <c r="Y173" s="309"/>
      <c r="Z173" s="310">
        <f>(R173+S173+T173)*'1.0-Contractblad'!$L$37</f>
        <v>377.64496982346674</v>
      </c>
      <c r="AA173" s="310">
        <f ca="1">VLOOKUP(E173,'1.2-Jaarprijzen'!$B$51:$Q$88,16,FALSE)*K173</f>
        <v>0</v>
      </c>
      <c r="AC173" s="226">
        <f t="shared" si="48"/>
        <v>788.8</v>
      </c>
      <c r="AD173" s="226" t="str">
        <f t="shared" si="49"/>
        <v>4200-200</v>
      </c>
    </row>
    <row r="174" spans="2:30" ht="12.5">
      <c r="B174" s="336"/>
      <c r="C174" s="337"/>
      <c r="D174" s="302">
        <f>VLOOKUP(E174,'1.2-Jaarprijzen'!B:G,6,FALSE)</f>
        <v>1</v>
      </c>
      <c r="E174" s="522" t="s">
        <v>82</v>
      </c>
      <c r="F174" s="302" t="s">
        <v>368</v>
      </c>
      <c r="G174" s="525" t="s">
        <v>388</v>
      </c>
      <c r="H174" s="523" t="s">
        <v>220</v>
      </c>
      <c r="I174" s="303" t="str">
        <f t="shared" si="28"/>
        <v>sanitaire ruimte (toilet-/doucheruimte)</v>
      </c>
      <c r="J174" s="302" t="s">
        <v>229</v>
      </c>
      <c r="K174" s="304">
        <v>1.1639999999999999</v>
      </c>
      <c r="L174" s="304"/>
      <c r="M174" s="305">
        <v>4200</v>
      </c>
      <c r="N174" s="302"/>
      <c r="O174" s="306">
        <f t="shared" si="35"/>
        <v>200</v>
      </c>
      <c r="P174" s="472">
        <v>1</v>
      </c>
      <c r="Q174" s="472">
        <v>1</v>
      </c>
      <c r="R174" s="300">
        <f t="shared" si="36"/>
        <v>3.1196594671291185</v>
      </c>
      <c r="S174" s="300">
        <f t="shared" si="37"/>
        <v>0.5505281412580797</v>
      </c>
      <c r="T174" s="300">
        <f t="shared" si="38"/>
        <v>0</v>
      </c>
      <c r="U174" s="307">
        <f t="shared" si="45"/>
        <v>2.6801198171212359</v>
      </c>
      <c r="V174" s="307">
        <f t="shared" si="46"/>
        <v>0.4729623206684534</v>
      </c>
      <c r="W174" s="307">
        <f t="shared" si="47"/>
        <v>0</v>
      </c>
      <c r="X174" s="308" t="str">
        <f t="shared" si="39"/>
        <v>S</v>
      </c>
      <c r="Y174" s="309"/>
      <c r="Z174" s="310">
        <f>(R174+S174+T174)*'1.0-Contractblad'!$L$37</f>
        <v>111.45505701686493</v>
      </c>
      <c r="AA174" s="310">
        <f ca="1">VLOOKUP(E174,'1.2-Jaarprijzen'!$B$51:$Q$88,16,FALSE)*K174</f>
        <v>0</v>
      </c>
      <c r="AC174" s="226">
        <f t="shared" si="48"/>
        <v>232.79999999999998</v>
      </c>
      <c r="AD174" s="226" t="str">
        <f t="shared" si="49"/>
        <v>4200-200</v>
      </c>
    </row>
    <row r="175" spans="2:30" ht="12.5">
      <c r="B175" s="336"/>
      <c r="C175" s="337"/>
      <c r="D175" s="302">
        <f>VLOOKUP(E175,'1.2-Jaarprijzen'!B:G,6,FALSE)</f>
        <v>1</v>
      </c>
      <c r="E175" s="522" t="s">
        <v>82</v>
      </c>
      <c r="F175" s="302" t="s">
        <v>368</v>
      </c>
      <c r="G175" s="525" t="s">
        <v>389</v>
      </c>
      <c r="H175" s="523" t="s">
        <v>329</v>
      </c>
      <c r="I175" s="303" t="str">
        <f t="shared" si="28"/>
        <v>sanitaire ruimte (toilet-/doucheruimte)</v>
      </c>
      <c r="J175" s="302" t="s">
        <v>229</v>
      </c>
      <c r="K175" s="304">
        <v>1.6755999999999998</v>
      </c>
      <c r="L175" s="304"/>
      <c r="M175" s="305">
        <v>4200</v>
      </c>
      <c r="N175" s="302"/>
      <c r="O175" s="306">
        <f t="shared" si="35"/>
        <v>200</v>
      </c>
      <c r="P175" s="472">
        <v>1</v>
      </c>
      <c r="Q175" s="472">
        <v>1</v>
      </c>
      <c r="R175" s="300">
        <f t="shared" si="36"/>
        <v>4.4908087655683424</v>
      </c>
      <c r="S175" s="300">
        <f t="shared" si="37"/>
        <v>0.79249566451206044</v>
      </c>
      <c r="T175" s="300">
        <f t="shared" si="38"/>
        <v>0</v>
      </c>
      <c r="U175" s="307">
        <f t="shared" si="45"/>
        <v>2.6801198171212359</v>
      </c>
      <c r="V175" s="307">
        <f t="shared" si="46"/>
        <v>0.4729623206684534</v>
      </c>
      <c r="W175" s="307">
        <f t="shared" si="47"/>
        <v>0</v>
      </c>
      <c r="X175" s="308" t="str">
        <f t="shared" si="39"/>
        <v>S</v>
      </c>
      <c r="Y175" s="309"/>
      <c r="Z175" s="310">
        <f>(R175+S175+T175)*'1.0-Contractblad'!$L$37</f>
        <v>160.44166111465537</v>
      </c>
      <c r="AA175" s="310">
        <f ca="1">VLOOKUP(E175,'1.2-Jaarprijzen'!$B$51:$Q$88,16,FALSE)*K175</f>
        <v>0</v>
      </c>
      <c r="AC175" s="226">
        <f t="shared" si="48"/>
        <v>335.11999999999995</v>
      </c>
      <c r="AD175" s="226" t="str">
        <f t="shared" si="49"/>
        <v>4200-200</v>
      </c>
    </row>
    <row r="176" spans="2:30" ht="12.5">
      <c r="B176" s="336"/>
      <c r="C176" s="337"/>
      <c r="D176" s="302">
        <f>VLOOKUP(E176,'1.2-Jaarprijzen'!B:G,6,FALSE)</f>
        <v>1</v>
      </c>
      <c r="E176" s="522" t="s">
        <v>82</v>
      </c>
      <c r="F176" s="302" t="s">
        <v>368</v>
      </c>
      <c r="G176" s="525" t="s">
        <v>390</v>
      </c>
      <c r="H176" s="523" t="s">
        <v>220</v>
      </c>
      <c r="I176" s="303" t="str">
        <f t="shared" si="28"/>
        <v>sanitaire ruimte (toilet-/doucheruimte)</v>
      </c>
      <c r="J176" s="302" t="s">
        <v>229</v>
      </c>
      <c r="K176" s="304">
        <v>1.1639999999999999</v>
      </c>
      <c r="L176" s="304"/>
      <c r="M176" s="305">
        <v>4200</v>
      </c>
      <c r="N176" s="302"/>
      <c r="O176" s="306">
        <f t="shared" si="35"/>
        <v>200</v>
      </c>
      <c r="P176" s="472">
        <v>1</v>
      </c>
      <c r="Q176" s="472">
        <v>1</v>
      </c>
      <c r="R176" s="300">
        <f t="shared" si="36"/>
        <v>3.1196594671291185</v>
      </c>
      <c r="S176" s="300">
        <f t="shared" si="37"/>
        <v>0.5505281412580797</v>
      </c>
      <c r="T176" s="300">
        <f t="shared" si="38"/>
        <v>0</v>
      </c>
      <c r="U176" s="307">
        <f t="shared" si="45"/>
        <v>2.6801198171212359</v>
      </c>
      <c r="V176" s="307">
        <f t="shared" si="46"/>
        <v>0.4729623206684534</v>
      </c>
      <c r="W176" s="307">
        <f t="shared" si="47"/>
        <v>0</v>
      </c>
      <c r="X176" s="308" t="str">
        <f t="shared" si="39"/>
        <v>S</v>
      </c>
      <c r="Y176" s="309"/>
      <c r="Z176" s="310">
        <f>(R176+S176+T176)*'1.0-Contractblad'!$L$37</f>
        <v>111.45505701686493</v>
      </c>
      <c r="AA176" s="310">
        <f ca="1">VLOOKUP(E176,'1.2-Jaarprijzen'!$B$51:$Q$88,16,FALSE)*K176</f>
        <v>0</v>
      </c>
      <c r="AC176" s="226">
        <f t="shared" si="48"/>
        <v>232.79999999999998</v>
      </c>
      <c r="AD176" s="226" t="str">
        <f t="shared" si="49"/>
        <v>4200-200</v>
      </c>
    </row>
    <row r="177" spans="2:30" ht="12.5">
      <c r="B177" s="336"/>
      <c r="C177" s="337"/>
      <c r="D177" s="302">
        <f>VLOOKUP(E177,'1.2-Jaarprijzen'!B:G,6,FALSE)</f>
        <v>1</v>
      </c>
      <c r="E177" s="522" t="s">
        <v>82</v>
      </c>
      <c r="F177" s="302" t="s">
        <v>368</v>
      </c>
      <c r="G177" s="525" t="s">
        <v>391</v>
      </c>
      <c r="H177" s="523" t="s">
        <v>329</v>
      </c>
      <c r="I177" s="303" t="str">
        <f t="shared" si="28"/>
        <v>sanitaire ruimte (toilet-/doucheruimte)</v>
      </c>
      <c r="J177" s="302" t="s">
        <v>229</v>
      </c>
      <c r="K177" s="304">
        <v>3.9439999999999995</v>
      </c>
      <c r="L177" s="304"/>
      <c r="M177" s="305">
        <v>4200</v>
      </c>
      <c r="N177" s="302"/>
      <c r="O177" s="306">
        <f t="shared" si="35"/>
        <v>200</v>
      </c>
      <c r="P177" s="472">
        <v>1</v>
      </c>
      <c r="Q177" s="472">
        <v>1</v>
      </c>
      <c r="R177" s="300">
        <f t="shared" si="36"/>
        <v>10.570392558726153</v>
      </c>
      <c r="S177" s="300">
        <f t="shared" si="37"/>
        <v>1.86536339271638</v>
      </c>
      <c r="T177" s="300">
        <f t="shared" si="38"/>
        <v>0</v>
      </c>
      <c r="U177" s="307">
        <f t="shared" si="45"/>
        <v>2.6801198171212359</v>
      </c>
      <c r="V177" s="307">
        <f t="shared" si="46"/>
        <v>0.4729623206684534</v>
      </c>
      <c r="W177" s="307">
        <f t="shared" si="47"/>
        <v>0</v>
      </c>
      <c r="X177" s="308" t="str">
        <f t="shared" si="39"/>
        <v>S</v>
      </c>
      <c r="Y177" s="309"/>
      <c r="Z177" s="310">
        <f>(R177+S177+T177)*'1.0-Contractblad'!$L$37</f>
        <v>377.64496982346674</v>
      </c>
      <c r="AA177" s="310">
        <f ca="1">VLOOKUP(E177,'1.2-Jaarprijzen'!$B$51:$Q$88,16,FALSE)*K177</f>
        <v>0</v>
      </c>
      <c r="AC177" s="226">
        <f t="shared" si="48"/>
        <v>788.8</v>
      </c>
      <c r="AD177" s="226" t="str">
        <f t="shared" si="49"/>
        <v>4200-200</v>
      </c>
    </row>
    <row r="178" spans="2:30" ht="12.5">
      <c r="B178" s="336"/>
      <c r="C178" s="337"/>
      <c r="D178" s="302">
        <f>VLOOKUP(E178,'1.2-Jaarprijzen'!B:G,6,FALSE)</f>
        <v>1</v>
      </c>
      <c r="E178" s="522" t="s">
        <v>82</v>
      </c>
      <c r="F178" s="302" t="s">
        <v>368</v>
      </c>
      <c r="G178" s="525" t="s">
        <v>392</v>
      </c>
      <c r="H178" s="523" t="s">
        <v>220</v>
      </c>
      <c r="I178" s="303" t="str">
        <f t="shared" si="28"/>
        <v>sanitaire ruimte (toilet-/doucheruimte)</v>
      </c>
      <c r="J178" s="302" t="s">
        <v>229</v>
      </c>
      <c r="K178" s="304">
        <v>1.1639999999999999</v>
      </c>
      <c r="L178" s="304"/>
      <c r="M178" s="305">
        <v>4200</v>
      </c>
      <c r="N178" s="302"/>
      <c r="O178" s="306">
        <f t="shared" si="35"/>
        <v>200</v>
      </c>
      <c r="P178" s="472">
        <v>1</v>
      </c>
      <c r="Q178" s="472">
        <v>1</v>
      </c>
      <c r="R178" s="300">
        <f t="shared" si="36"/>
        <v>3.1196594671291185</v>
      </c>
      <c r="S178" s="300">
        <f t="shared" si="37"/>
        <v>0.5505281412580797</v>
      </c>
      <c r="T178" s="300">
        <f t="shared" si="38"/>
        <v>0</v>
      </c>
      <c r="U178" s="307">
        <f t="shared" si="45"/>
        <v>2.6801198171212359</v>
      </c>
      <c r="V178" s="307">
        <f t="shared" si="46"/>
        <v>0.4729623206684534</v>
      </c>
      <c r="W178" s="307">
        <f t="shared" si="47"/>
        <v>0</v>
      </c>
      <c r="X178" s="308" t="str">
        <f t="shared" si="39"/>
        <v>S</v>
      </c>
      <c r="Y178" s="309"/>
      <c r="Z178" s="310">
        <f>(R178+S178+T178)*'1.0-Contractblad'!$L$37</f>
        <v>111.45505701686493</v>
      </c>
      <c r="AA178" s="310">
        <f ca="1">VLOOKUP(E178,'1.2-Jaarprijzen'!$B$51:$Q$88,16,FALSE)*K178</f>
        <v>0</v>
      </c>
      <c r="AC178" s="226">
        <f t="shared" si="48"/>
        <v>232.79999999999998</v>
      </c>
      <c r="AD178" s="226" t="str">
        <f t="shared" si="49"/>
        <v>4200-200</v>
      </c>
    </row>
    <row r="179" spans="2:30" ht="12.5">
      <c r="B179" s="336"/>
      <c r="C179" s="337"/>
      <c r="D179" s="302">
        <f>VLOOKUP(E179,'1.2-Jaarprijzen'!B:G,6,FALSE)</f>
        <v>1</v>
      </c>
      <c r="E179" s="522" t="s">
        <v>82</v>
      </c>
      <c r="F179" s="302" t="s">
        <v>368</v>
      </c>
      <c r="G179" s="525" t="s">
        <v>393</v>
      </c>
      <c r="H179" s="523" t="s">
        <v>329</v>
      </c>
      <c r="I179" s="303" t="str">
        <f t="shared" si="28"/>
        <v>sanitaire ruimte (toilet-/doucheruimte)</v>
      </c>
      <c r="J179" s="302" t="s">
        <v>229</v>
      </c>
      <c r="K179" s="304">
        <v>1.6755999999999998</v>
      </c>
      <c r="L179" s="304"/>
      <c r="M179" s="305">
        <v>4200</v>
      </c>
      <c r="N179" s="302"/>
      <c r="O179" s="306">
        <f t="shared" si="35"/>
        <v>200</v>
      </c>
      <c r="P179" s="472">
        <v>1</v>
      </c>
      <c r="Q179" s="472">
        <v>1</v>
      </c>
      <c r="R179" s="300">
        <f t="shared" si="36"/>
        <v>4.4908087655683424</v>
      </c>
      <c r="S179" s="300">
        <f t="shared" si="37"/>
        <v>0.79249566451206044</v>
      </c>
      <c r="T179" s="300">
        <f t="shared" si="38"/>
        <v>0</v>
      </c>
      <c r="U179" s="307">
        <f t="shared" si="45"/>
        <v>2.6801198171212359</v>
      </c>
      <c r="V179" s="307">
        <f t="shared" si="46"/>
        <v>0.4729623206684534</v>
      </c>
      <c r="W179" s="307">
        <f t="shared" si="47"/>
        <v>0</v>
      </c>
      <c r="X179" s="308" t="str">
        <f t="shared" si="39"/>
        <v>S</v>
      </c>
      <c r="Y179" s="309"/>
      <c r="Z179" s="310">
        <f>(R179+S179+T179)*'1.0-Contractblad'!$L$37</f>
        <v>160.44166111465537</v>
      </c>
      <c r="AA179" s="310">
        <f ca="1">VLOOKUP(E179,'1.2-Jaarprijzen'!$B$51:$Q$88,16,FALSE)*K179</f>
        <v>0</v>
      </c>
      <c r="AC179" s="226">
        <f t="shared" si="48"/>
        <v>335.11999999999995</v>
      </c>
      <c r="AD179" s="226" t="str">
        <f t="shared" si="49"/>
        <v>4200-200</v>
      </c>
    </row>
    <row r="180" spans="2:30" ht="12.5">
      <c r="B180" s="336"/>
      <c r="C180" s="337"/>
      <c r="D180" s="302">
        <f>VLOOKUP(E180,'1.2-Jaarprijzen'!B:G,6,FALSE)</f>
        <v>1</v>
      </c>
      <c r="E180" s="522" t="s">
        <v>82</v>
      </c>
      <c r="F180" s="302" t="s">
        <v>368</v>
      </c>
      <c r="G180" s="525" t="s">
        <v>394</v>
      </c>
      <c r="H180" s="523" t="s">
        <v>220</v>
      </c>
      <c r="I180" s="303" t="str">
        <f t="shared" ref="I180:I211" si="50">IF($M180="",0,VLOOKUP($M180,Kengetal,4,FALSE))</f>
        <v>sanitaire ruimte (toilet-/doucheruimte)</v>
      </c>
      <c r="J180" s="302" t="s">
        <v>229</v>
      </c>
      <c r="K180" s="304">
        <v>1.2</v>
      </c>
      <c r="L180" s="304"/>
      <c r="M180" s="305">
        <v>4200</v>
      </c>
      <c r="N180" s="302"/>
      <c r="O180" s="306">
        <f t="shared" ref="O180:O211" si="51">VLOOKUP(M180,Kengetal,3,FALSE)+VLOOKUP(N180,Kengetal,3,FALSE)</f>
        <v>200</v>
      </c>
      <c r="P180" s="472">
        <v>1</v>
      </c>
      <c r="Q180" s="472">
        <v>1</v>
      </c>
      <c r="R180" s="300">
        <f t="shared" ref="R180:R211" si="52">U180*K180*P180</f>
        <v>3.2161437805454831</v>
      </c>
      <c r="S180" s="300">
        <f t="shared" ref="S180:S211" si="53">V180*K180*Q180</f>
        <v>0.56755478480214405</v>
      </c>
      <c r="T180" s="300">
        <f t="shared" ref="T180:T211" si="54">W180*K180*P180</f>
        <v>0</v>
      </c>
      <c r="U180" s="307">
        <f t="shared" ref="U180:U221" si="55">IF($M180=0,0,VLOOKUP($M180,Kengetal,6,FALSE))</f>
        <v>2.6801198171212359</v>
      </c>
      <c r="V180" s="307">
        <f t="shared" ref="V180:V221" si="56">IF($M180=0,0,VLOOKUP($M180,Kengetal,7,FALSE))</f>
        <v>0.4729623206684534</v>
      </c>
      <c r="W180" s="307">
        <f t="shared" ref="W180:W221" si="57">IF($N180=0,0,VLOOKUP($N180,Kengetal,6,FALSE))</f>
        <v>0</v>
      </c>
      <c r="X180" s="308" t="str">
        <f t="shared" ref="X180:X211" si="58">IF(M180="","",VLOOKUP(M180,Kengetal,13,FALSE))</f>
        <v>S</v>
      </c>
      <c r="Y180" s="309"/>
      <c r="Z180" s="310">
        <f>(R180+S180+T180)*'1.0-Contractblad'!$L$37</f>
        <v>114.90212063594323</v>
      </c>
      <c r="AA180" s="310">
        <f ca="1">VLOOKUP(E180,'1.2-Jaarprijzen'!$B$51:$Q$88,16,FALSE)*K180</f>
        <v>0</v>
      </c>
      <c r="AC180" s="226">
        <f t="shared" si="48"/>
        <v>240</v>
      </c>
      <c r="AD180" s="226" t="str">
        <f t="shared" si="49"/>
        <v>4200-200</v>
      </c>
    </row>
    <row r="181" spans="2:30" ht="12.5">
      <c r="B181" s="336"/>
      <c r="C181" s="337"/>
      <c r="D181" s="302">
        <f>VLOOKUP(E181,'1.2-Jaarprijzen'!B:G,6,FALSE)</f>
        <v>1</v>
      </c>
      <c r="E181" s="522" t="s">
        <v>82</v>
      </c>
      <c r="F181" s="302" t="s">
        <v>368</v>
      </c>
      <c r="G181" s="525" t="s">
        <v>395</v>
      </c>
      <c r="H181" s="523" t="s">
        <v>396</v>
      </c>
      <c r="I181" s="303" t="str">
        <f t="shared" si="50"/>
        <v>niet van toepassing</v>
      </c>
      <c r="J181" s="302"/>
      <c r="K181" s="304"/>
      <c r="L181" s="304">
        <v>3.8</v>
      </c>
      <c r="M181" s="305" t="s">
        <v>147</v>
      </c>
      <c r="N181" s="302"/>
      <c r="O181" s="306">
        <f t="shared" si="51"/>
        <v>0</v>
      </c>
      <c r="P181" s="472">
        <v>1</v>
      </c>
      <c r="Q181" s="472">
        <v>1</v>
      </c>
      <c r="R181" s="300">
        <f t="shared" si="52"/>
        <v>0</v>
      </c>
      <c r="S181" s="300">
        <f t="shared" si="53"/>
        <v>0</v>
      </c>
      <c r="T181" s="300">
        <f t="shared" si="54"/>
        <v>0</v>
      </c>
      <c r="U181" s="307">
        <f t="shared" si="55"/>
        <v>0</v>
      </c>
      <c r="V181" s="307">
        <f t="shared" si="56"/>
        <v>0</v>
      </c>
      <c r="W181" s="307">
        <f t="shared" si="57"/>
        <v>0</v>
      </c>
      <c r="X181" s="308">
        <f t="shared" si="58"/>
        <v>0</v>
      </c>
      <c r="Y181" s="309"/>
      <c r="Z181" s="310">
        <f>(R181+S181+T181)*'1.0-Contractblad'!$L$37</f>
        <v>0</v>
      </c>
      <c r="AA181" s="310">
        <f ca="1">VLOOKUP(E181,'1.2-Jaarprijzen'!$B$51:$Q$88,16,FALSE)*K181</f>
        <v>0</v>
      </c>
      <c r="AC181" s="226">
        <f t="shared" si="48"/>
        <v>0</v>
      </c>
      <c r="AD181" s="226" t="str">
        <f t="shared" si="49"/>
        <v>nvt-0</v>
      </c>
    </row>
    <row r="182" spans="2:30" ht="12.5">
      <c r="B182" s="336"/>
      <c r="C182" s="337"/>
      <c r="D182" s="302">
        <f>VLOOKUP(E182,'1.2-Jaarprijzen'!B:G,6,FALSE)</f>
        <v>1</v>
      </c>
      <c r="E182" s="522" t="s">
        <v>82</v>
      </c>
      <c r="F182" s="302" t="s">
        <v>397</v>
      </c>
      <c r="G182" s="525" t="s">
        <v>398</v>
      </c>
      <c r="H182" s="523" t="s">
        <v>277</v>
      </c>
      <c r="I182" s="303" t="str">
        <f t="shared" si="50"/>
        <v>entree, gang, hal, repro, kopieer, was/droogruimte</v>
      </c>
      <c r="J182" s="302" t="s">
        <v>229</v>
      </c>
      <c r="K182" s="304">
        <v>24.189999999999998</v>
      </c>
      <c r="L182" s="304"/>
      <c r="M182" s="305">
        <v>3200</v>
      </c>
      <c r="N182" s="302"/>
      <c r="O182" s="306">
        <f t="shared" si="51"/>
        <v>200</v>
      </c>
      <c r="P182" s="472">
        <v>1</v>
      </c>
      <c r="Q182" s="472">
        <v>1</v>
      </c>
      <c r="R182" s="300">
        <f t="shared" si="52"/>
        <v>9.1048216814076675</v>
      </c>
      <c r="S182" s="300">
        <f t="shared" si="53"/>
        <v>2.7462913223811176</v>
      </c>
      <c r="T182" s="300">
        <f t="shared" si="54"/>
        <v>0</v>
      </c>
      <c r="U182" s="307">
        <f t="shared" si="55"/>
        <v>0.37638783304703055</v>
      </c>
      <c r="V182" s="307">
        <f t="shared" si="56"/>
        <v>0.11353002572885977</v>
      </c>
      <c r="W182" s="307">
        <f t="shared" si="57"/>
        <v>0</v>
      </c>
      <c r="X182" s="308" t="str">
        <f t="shared" si="58"/>
        <v>V</v>
      </c>
      <c r="Y182" s="309"/>
      <c r="Z182" s="310">
        <f>(R182+S182+T182)*'1.0-Contractblad'!$L$37</f>
        <v>359.89072398700102</v>
      </c>
      <c r="AA182" s="310">
        <f ca="1">VLOOKUP(E182,'1.2-Jaarprijzen'!$B$51:$Q$88,16,FALSE)*K182</f>
        <v>0</v>
      </c>
      <c r="AC182" s="226">
        <f t="shared" si="48"/>
        <v>4838</v>
      </c>
      <c r="AD182" s="226" t="str">
        <f t="shared" si="49"/>
        <v>3200-200</v>
      </c>
    </row>
    <row r="183" spans="2:30" ht="12.5">
      <c r="B183" s="336"/>
      <c r="C183" s="337"/>
      <c r="D183" s="302">
        <f>VLOOKUP(E183,'1.2-Jaarprijzen'!B:G,6,FALSE)</f>
        <v>1</v>
      </c>
      <c r="E183" s="522" t="s">
        <v>82</v>
      </c>
      <c r="F183" s="302" t="s">
        <v>397</v>
      </c>
      <c r="G183" s="525" t="s">
        <v>399</v>
      </c>
      <c r="H183" s="523" t="s">
        <v>247</v>
      </c>
      <c r="I183" s="303" t="str">
        <f t="shared" si="50"/>
        <v>niet van toepassing</v>
      </c>
      <c r="J183" s="302"/>
      <c r="K183" s="304"/>
      <c r="L183" s="304">
        <v>6.16</v>
      </c>
      <c r="M183" s="305" t="s">
        <v>147</v>
      </c>
      <c r="N183" s="302"/>
      <c r="O183" s="306">
        <f t="shared" si="51"/>
        <v>0</v>
      </c>
      <c r="P183" s="472">
        <v>1</v>
      </c>
      <c r="Q183" s="472">
        <v>1</v>
      </c>
      <c r="R183" s="300">
        <f t="shared" si="52"/>
        <v>0</v>
      </c>
      <c r="S183" s="300">
        <f t="shared" si="53"/>
        <v>0</v>
      </c>
      <c r="T183" s="300">
        <f t="shared" si="54"/>
        <v>0</v>
      </c>
      <c r="U183" s="307">
        <f t="shared" si="55"/>
        <v>0</v>
      </c>
      <c r="V183" s="307">
        <f t="shared" si="56"/>
        <v>0</v>
      </c>
      <c r="W183" s="307">
        <f t="shared" si="57"/>
        <v>0</v>
      </c>
      <c r="X183" s="308">
        <f t="shared" si="58"/>
        <v>0</v>
      </c>
      <c r="Y183" s="309"/>
      <c r="Z183" s="310">
        <f>(R183+S183+T183)*'1.0-Contractblad'!$L$37</f>
        <v>0</v>
      </c>
      <c r="AA183" s="310">
        <f ca="1">VLOOKUP(E183,'1.2-Jaarprijzen'!$B$51:$Q$88,16,FALSE)*K183</f>
        <v>0</v>
      </c>
      <c r="AC183" s="226">
        <f t="shared" si="48"/>
        <v>0</v>
      </c>
      <c r="AD183" s="226" t="str">
        <f t="shared" si="49"/>
        <v>nvt-0</v>
      </c>
    </row>
    <row r="184" spans="2:30" ht="12.5">
      <c r="B184" s="336"/>
      <c r="C184" s="337"/>
      <c r="D184" s="302">
        <f>VLOOKUP(E184,'1.2-Jaarprijzen'!B:G,6,FALSE)</f>
        <v>1</v>
      </c>
      <c r="E184" s="522" t="s">
        <v>82</v>
      </c>
      <c r="F184" s="302" t="s">
        <v>397</v>
      </c>
      <c r="G184" s="525" t="s">
        <v>400</v>
      </c>
      <c r="H184" s="523" t="s">
        <v>280</v>
      </c>
      <c r="I184" s="303" t="str">
        <f t="shared" si="50"/>
        <v>entree, gang, hal, repro, kopieer, was/droogruimte</v>
      </c>
      <c r="J184" s="302" t="s">
        <v>229</v>
      </c>
      <c r="K184" s="304">
        <v>10.48</v>
      </c>
      <c r="L184" s="304"/>
      <c r="M184" s="305">
        <v>3200</v>
      </c>
      <c r="N184" s="302"/>
      <c r="O184" s="306">
        <f t="shared" si="51"/>
        <v>200</v>
      </c>
      <c r="P184" s="472">
        <v>1</v>
      </c>
      <c r="Q184" s="472">
        <v>1</v>
      </c>
      <c r="R184" s="300">
        <f t="shared" si="52"/>
        <v>3.9445444903328801</v>
      </c>
      <c r="S184" s="300">
        <f t="shared" si="53"/>
        <v>1.1897946696384505</v>
      </c>
      <c r="T184" s="300">
        <f t="shared" si="54"/>
        <v>0</v>
      </c>
      <c r="U184" s="307">
        <f t="shared" si="55"/>
        <v>0.37638783304703055</v>
      </c>
      <c r="V184" s="307">
        <f t="shared" si="56"/>
        <v>0.11353002572885977</v>
      </c>
      <c r="W184" s="307">
        <f t="shared" si="57"/>
        <v>0</v>
      </c>
      <c r="X184" s="308" t="str">
        <f t="shared" si="58"/>
        <v>V</v>
      </c>
      <c r="Y184" s="309"/>
      <c r="Z184" s="310">
        <f>(R184+S184+T184)*'1.0-Contractblad'!$L$37</f>
        <v>155.91793250863049</v>
      </c>
      <c r="AA184" s="310">
        <f ca="1">VLOOKUP(E184,'1.2-Jaarprijzen'!$B$51:$Q$88,16,FALSE)*K184</f>
        <v>0</v>
      </c>
      <c r="AC184" s="226">
        <f t="shared" si="48"/>
        <v>2096</v>
      </c>
      <c r="AD184" s="226" t="str">
        <f t="shared" si="49"/>
        <v>3200-200</v>
      </c>
    </row>
    <row r="185" spans="2:30" ht="12.5">
      <c r="B185" s="336"/>
      <c r="C185" s="337"/>
      <c r="D185" s="302">
        <f>VLOOKUP(E185,'1.2-Jaarprijzen'!B:G,6,FALSE)</f>
        <v>1</v>
      </c>
      <c r="E185" s="522" t="s">
        <v>82</v>
      </c>
      <c r="F185" s="302" t="s">
        <v>397</v>
      </c>
      <c r="G185" s="525" t="s">
        <v>401</v>
      </c>
      <c r="H185" s="523" t="s">
        <v>402</v>
      </c>
      <c r="I185" s="303" t="str">
        <f t="shared" si="50"/>
        <v>trappenhuis</v>
      </c>
      <c r="J185" s="302" t="s">
        <v>208</v>
      </c>
      <c r="K185" s="304">
        <v>5.6448</v>
      </c>
      <c r="L185" s="304"/>
      <c r="M185" s="305">
        <v>9200</v>
      </c>
      <c r="N185" s="302"/>
      <c r="O185" s="306">
        <f t="shared" si="51"/>
        <v>200</v>
      </c>
      <c r="P185" s="472">
        <v>1</v>
      </c>
      <c r="Q185" s="472">
        <v>1</v>
      </c>
      <c r="R185" s="300">
        <f t="shared" si="52"/>
        <v>3.9836888249697711</v>
      </c>
      <c r="S185" s="300">
        <f t="shared" si="53"/>
        <v>0.24825886880246403</v>
      </c>
      <c r="T185" s="300">
        <f t="shared" si="54"/>
        <v>0</v>
      </c>
      <c r="U185" s="307">
        <f t="shared" si="55"/>
        <v>0.70572718696318226</v>
      </c>
      <c r="V185" s="307">
        <f t="shared" si="56"/>
        <v>4.3980100057125854E-2</v>
      </c>
      <c r="W185" s="307">
        <f t="shared" si="57"/>
        <v>0</v>
      </c>
      <c r="X185" s="308" t="str">
        <f t="shared" si="58"/>
        <v>V</v>
      </c>
      <c r="Y185" s="309"/>
      <c r="Z185" s="310">
        <f>(R185+S185+T185)*'1.0-Contractblad'!$L$37</f>
        <v>128.51440357541907</v>
      </c>
      <c r="AA185" s="310">
        <f ca="1">VLOOKUP(E185,'1.2-Jaarprijzen'!$B$51:$Q$88,16,FALSE)*K185</f>
        <v>0</v>
      </c>
      <c r="AC185" s="226">
        <f t="shared" si="48"/>
        <v>1128.96</v>
      </c>
      <c r="AD185" s="226" t="str">
        <f t="shared" si="49"/>
        <v>9200-200</v>
      </c>
    </row>
    <row r="186" spans="2:30" ht="12.5">
      <c r="B186" s="336"/>
      <c r="C186" s="337"/>
      <c r="D186" s="302">
        <f>VLOOKUP(E186,'1.2-Jaarprijzen'!B:G,6,FALSE)</f>
        <v>1</v>
      </c>
      <c r="E186" s="522" t="s">
        <v>82</v>
      </c>
      <c r="F186" s="302" t="s">
        <v>397</v>
      </c>
      <c r="G186" s="525" t="s">
        <v>403</v>
      </c>
      <c r="H186" s="523" t="s">
        <v>365</v>
      </c>
      <c r="I186" s="303" t="str">
        <f t="shared" si="50"/>
        <v>niet van toepassing</v>
      </c>
      <c r="J186" s="302"/>
      <c r="K186" s="304"/>
      <c r="L186" s="304">
        <v>4.42</v>
      </c>
      <c r="M186" s="305" t="s">
        <v>147</v>
      </c>
      <c r="N186" s="302"/>
      <c r="O186" s="306">
        <f t="shared" si="51"/>
        <v>0</v>
      </c>
      <c r="P186" s="472">
        <v>1</v>
      </c>
      <c r="Q186" s="472">
        <v>1</v>
      </c>
      <c r="R186" s="300">
        <f t="shared" si="52"/>
        <v>0</v>
      </c>
      <c r="S186" s="300">
        <f t="shared" si="53"/>
        <v>0</v>
      </c>
      <c r="T186" s="300">
        <f t="shared" si="54"/>
        <v>0</v>
      </c>
      <c r="U186" s="307">
        <f t="shared" si="55"/>
        <v>0</v>
      </c>
      <c r="V186" s="307">
        <f t="shared" si="56"/>
        <v>0</v>
      </c>
      <c r="W186" s="307">
        <f t="shared" si="57"/>
        <v>0</v>
      </c>
      <c r="X186" s="308">
        <f t="shared" si="58"/>
        <v>0</v>
      </c>
      <c r="Y186" s="309"/>
      <c r="Z186" s="310">
        <f>(R186+S186+T186)*'1.0-Contractblad'!$L$37</f>
        <v>0</v>
      </c>
      <c r="AA186" s="310">
        <f ca="1">VLOOKUP(E186,'1.2-Jaarprijzen'!$B$51:$Q$88,16,FALSE)*K186</f>
        <v>0</v>
      </c>
      <c r="AC186" s="226">
        <f t="shared" si="48"/>
        <v>0</v>
      </c>
      <c r="AD186" s="226" t="str">
        <f t="shared" si="49"/>
        <v>nvt-0</v>
      </c>
    </row>
    <row r="187" spans="2:30" ht="12.5">
      <c r="B187" s="336"/>
      <c r="C187" s="337"/>
      <c r="D187" s="302">
        <f>VLOOKUP(E187,'1.2-Jaarprijzen'!B:G,6,FALSE)</f>
        <v>1</v>
      </c>
      <c r="E187" s="522" t="s">
        <v>82</v>
      </c>
      <c r="F187" s="302" t="s">
        <v>397</v>
      </c>
      <c r="G187" s="525" t="s">
        <v>404</v>
      </c>
      <c r="H187" s="523" t="s">
        <v>243</v>
      </c>
      <c r="I187" s="303" t="str">
        <f t="shared" si="50"/>
        <v>leslokaal/bevo/handvaardigheid</v>
      </c>
      <c r="J187" s="302" t="s">
        <v>229</v>
      </c>
      <c r="K187" s="304">
        <v>47.8</v>
      </c>
      <c r="L187" s="304"/>
      <c r="M187" s="305">
        <v>7040</v>
      </c>
      <c r="N187" s="302"/>
      <c r="O187" s="306">
        <f t="shared" si="51"/>
        <v>40</v>
      </c>
      <c r="P187" s="472">
        <v>1</v>
      </c>
      <c r="Q187" s="472">
        <v>1</v>
      </c>
      <c r="R187" s="300">
        <f t="shared" si="52"/>
        <v>6.0007384615384618</v>
      </c>
      <c r="S187" s="300">
        <f t="shared" si="53"/>
        <v>4.4123076923076923</v>
      </c>
      <c r="T187" s="300">
        <f t="shared" si="54"/>
        <v>0</v>
      </c>
      <c r="U187" s="307">
        <f t="shared" si="55"/>
        <v>0.12553846153846154</v>
      </c>
      <c r="V187" s="307">
        <f t="shared" si="56"/>
        <v>9.2307692307692313E-2</v>
      </c>
      <c r="W187" s="307">
        <f t="shared" si="57"/>
        <v>0</v>
      </c>
      <c r="X187" s="308" t="str">
        <f t="shared" si="58"/>
        <v>L</v>
      </c>
      <c r="Y187" s="309"/>
      <c r="Z187" s="310">
        <f>(R187+S187+T187)*'1.0-Contractblad'!$L$37</f>
        <v>316.21998018411085</v>
      </c>
      <c r="AA187" s="310">
        <f ca="1">VLOOKUP(E187,'1.2-Jaarprijzen'!$B$51:$Q$88,16,FALSE)*K187</f>
        <v>0</v>
      </c>
      <c r="AC187" s="226">
        <f t="shared" si="48"/>
        <v>1912</v>
      </c>
      <c r="AD187" s="226" t="str">
        <f t="shared" si="49"/>
        <v>7040-40</v>
      </c>
    </row>
    <row r="188" spans="2:30" ht="12.5">
      <c r="B188" s="336"/>
      <c r="C188" s="337"/>
      <c r="D188" s="302">
        <f>VLOOKUP(E188,'1.2-Jaarprijzen'!B:G,6,FALSE)</f>
        <v>1</v>
      </c>
      <c r="E188" s="522" t="s">
        <v>82</v>
      </c>
      <c r="F188" s="302" t="s">
        <v>397</v>
      </c>
      <c r="G188" s="525" t="s">
        <v>405</v>
      </c>
      <c r="H188" s="522" t="s">
        <v>327</v>
      </c>
      <c r="I188" s="303" t="str">
        <f t="shared" si="50"/>
        <v>sanitaire ruimte (toilet-/doucheruimte)</v>
      </c>
      <c r="J188" s="302" t="s">
        <v>221</v>
      </c>
      <c r="K188" s="304">
        <v>3.62</v>
      </c>
      <c r="L188" s="304"/>
      <c r="M188" s="305">
        <v>4200</v>
      </c>
      <c r="N188" s="302"/>
      <c r="O188" s="306">
        <f t="shared" si="51"/>
        <v>200</v>
      </c>
      <c r="P188" s="472">
        <v>1</v>
      </c>
      <c r="Q188" s="472">
        <v>1</v>
      </c>
      <c r="R188" s="300">
        <f t="shared" si="52"/>
        <v>9.7020337379788746</v>
      </c>
      <c r="S188" s="300">
        <f t="shared" si="53"/>
        <v>1.7121236008198013</v>
      </c>
      <c r="T188" s="300">
        <f t="shared" si="54"/>
        <v>0</v>
      </c>
      <c r="U188" s="307">
        <f t="shared" si="55"/>
        <v>2.6801198171212359</v>
      </c>
      <c r="V188" s="307">
        <f t="shared" si="56"/>
        <v>0.4729623206684534</v>
      </c>
      <c r="W188" s="307">
        <f t="shared" si="57"/>
        <v>0</v>
      </c>
      <c r="X188" s="308" t="str">
        <f t="shared" si="58"/>
        <v>S</v>
      </c>
      <c r="Y188" s="309"/>
      <c r="Z188" s="310">
        <f>(R188+S188+T188)*'1.0-Contractblad'!$L$37</f>
        <v>346.62139725176212</v>
      </c>
      <c r="AA188" s="310">
        <f ca="1">VLOOKUP(E188,'1.2-Jaarprijzen'!$B$51:$Q$88,16,FALSE)*K188</f>
        <v>0</v>
      </c>
      <c r="AC188" s="226">
        <f t="shared" si="48"/>
        <v>724</v>
      </c>
      <c r="AD188" s="226" t="str">
        <f t="shared" si="49"/>
        <v>4200-200</v>
      </c>
    </row>
    <row r="189" spans="2:30" ht="12.5">
      <c r="B189" s="336"/>
      <c r="C189" s="337"/>
      <c r="D189" s="302">
        <f>VLOOKUP(E189,'1.2-Jaarprijzen'!B:G,6,FALSE)</f>
        <v>1</v>
      </c>
      <c r="E189" s="522" t="s">
        <v>82</v>
      </c>
      <c r="F189" s="302" t="s">
        <v>397</v>
      </c>
      <c r="G189" s="525" t="s">
        <v>406</v>
      </c>
      <c r="H189" s="523" t="s">
        <v>142</v>
      </c>
      <c r="I189" s="303" t="str">
        <f t="shared" si="50"/>
        <v>gymzaal</v>
      </c>
      <c r="J189" s="302" t="s">
        <v>264</v>
      </c>
      <c r="K189" s="304">
        <v>248.77</v>
      </c>
      <c r="L189" s="304"/>
      <c r="M189" s="305">
        <v>14200</v>
      </c>
      <c r="N189" s="302"/>
      <c r="O189" s="306">
        <f t="shared" si="51"/>
        <v>200</v>
      </c>
      <c r="P189" s="472">
        <v>1</v>
      </c>
      <c r="Q189" s="472">
        <v>1</v>
      </c>
      <c r="R189" s="300">
        <f t="shared" si="52"/>
        <v>79.855170000000001</v>
      </c>
      <c r="S189" s="300">
        <f t="shared" si="53"/>
        <v>21.627418761696557</v>
      </c>
      <c r="T189" s="300">
        <f t="shared" si="54"/>
        <v>0</v>
      </c>
      <c r="U189" s="307">
        <f t="shared" si="55"/>
        <v>0.32100000000000001</v>
      </c>
      <c r="V189" s="307">
        <f t="shared" si="56"/>
        <v>8.6937407089667393E-2</v>
      </c>
      <c r="W189" s="307">
        <f t="shared" si="57"/>
        <v>0</v>
      </c>
      <c r="X189" s="308" t="str">
        <f t="shared" si="58"/>
        <v>Sp</v>
      </c>
      <c r="Y189" s="309"/>
      <c r="Z189" s="310">
        <f>(R189+S189+T189)*'1.0-Contractblad'!$L$37</f>
        <v>3081.7900672996557</v>
      </c>
      <c r="AA189" s="310">
        <f ca="1">VLOOKUP(E189,'1.2-Jaarprijzen'!$B$51:$Q$88,16,FALSE)*K189</f>
        <v>0</v>
      </c>
      <c r="AC189" s="226">
        <f t="shared" si="48"/>
        <v>49754</v>
      </c>
      <c r="AD189" s="226" t="str">
        <f t="shared" si="49"/>
        <v>14200-200</v>
      </c>
    </row>
    <row r="190" spans="2:30" ht="12.5">
      <c r="B190" s="336"/>
      <c r="C190" s="337"/>
      <c r="D190" s="302">
        <f>VLOOKUP(E190,'1.2-Jaarprijzen'!B:G,6,FALSE)</f>
        <v>1</v>
      </c>
      <c r="E190" s="522" t="s">
        <v>82</v>
      </c>
      <c r="F190" s="302" t="s">
        <v>397</v>
      </c>
      <c r="G190" s="525" t="s">
        <v>407</v>
      </c>
      <c r="H190" s="523" t="s">
        <v>266</v>
      </c>
      <c r="I190" s="303" t="str">
        <f t="shared" si="50"/>
        <v>gymzaal (berging)</v>
      </c>
      <c r="J190" s="302" t="s">
        <v>264</v>
      </c>
      <c r="K190" s="304">
        <v>28.5</v>
      </c>
      <c r="L190" s="304"/>
      <c r="M190" s="305">
        <v>14040</v>
      </c>
      <c r="N190" s="302"/>
      <c r="O190" s="306">
        <f t="shared" si="51"/>
        <v>40</v>
      </c>
      <c r="P190" s="472">
        <v>1</v>
      </c>
      <c r="Q190" s="472">
        <v>1</v>
      </c>
      <c r="R190" s="300">
        <f t="shared" si="52"/>
        <v>1.9211850000000004</v>
      </c>
      <c r="S190" s="300">
        <f t="shared" si="53"/>
        <v>2.4777161020555205</v>
      </c>
      <c r="T190" s="300">
        <f t="shared" si="54"/>
        <v>0</v>
      </c>
      <c r="U190" s="307">
        <f t="shared" si="55"/>
        <v>6.7410000000000012E-2</v>
      </c>
      <c r="V190" s="307">
        <f t="shared" si="56"/>
        <v>8.6937407089667393E-2</v>
      </c>
      <c r="W190" s="307">
        <f t="shared" si="57"/>
        <v>0</v>
      </c>
      <c r="X190" s="308" t="str">
        <f t="shared" si="58"/>
        <v>Sp</v>
      </c>
      <c r="Y190" s="309"/>
      <c r="Z190" s="310">
        <f>(R190+S190+T190)*'1.0-Contractblad'!$L$37</f>
        <v>133.58439007879306</v>
      </c>
      <c r="AA190" s="310">
        <f ca="1">VLOOKUP(E190,'1.2-Jaarprijzen'!$B$51:$Q$88,16,FALSE)*K190</f>
        <v>0</v>
      </c>
      <c r="AC190" s="226">
        <f t="shared" si="48"/>
        <v>1140</v>
      </c>
      <c r="AD190" s="226" t="str">
        <f t="shared" si="49"/>
        <v>14040-40</v>
      </c>
    </row>
    <row r="191" spans="2:30" ht="12.5">
      <c r="B191" s="336"/>
      <c r="C191" s="337"/>
      <c r="D191" s="302">
        <f>VLOOKUP(E191,'1.2-Jaarprijzen'!B:G,6,FALSE)</f>
        <v>1</v>
      </c>
      <c r="E191" s="522" t="s">
        <v>82</v>
      </c>
      <c r="F191" s="302" t="s">
        <v>397</v>
      </c>
      <c r="G191" s="525" t="s">
        <v>408</v>
      </c>
      <c r="H191" s="523" t="s">
        <v>313</v>
      </c>
      <c r="I191" s="303" t="str">
        <f t="shared" si="50"/>
        <v>niet van toepassing</v>
      </c>
      <c r="J191" s="302"/>
      <c r="K191" s="304"/>
      <c r="L191" s="304">
        <v>6.2</v>
      </c>
      <c r="M191" s="305" t="s">
        <v>147</v>
      </c>
      <c r="N191" s="302"/>
      <c r="O191" s="306">
        <f t="shared" si="51"/>
        <v>0</v>
      </c>
      <c r="P191" s="472">
        <v>1</v>
      </c>
      <c r="Q191" s="472">
        <v>1</v>
      </c>
      <c r="R191" s="300">
        <f t="shared" si="52"/>
        <v>0</v>
      </c>
      <c r="S191" s="300">
        <f t="shared" si="53"/>
        <v>0</v>
      </c>
      <c r="T191" s="300">
        <f t="shared" si="54"/>
        <v>0</v>
      </c>
      <c r="U191" s="307">
        <f t="shared" si="55"/>
        <v>0</v>
      </c>
      <c r="V191" s="307">
        <f t="shared" si="56"/>
        <v>0</v>
      </c>
      <c r="W191" s="307">
        <f t="shared" si="57"/>
        <v>0</v>
      </c>
      <c r="X191" s="308">
        <f t="shared" si="58"/>
        <v>0</v>
      </c>
      <c r="Y191" s="309"/>
      <c r="Z191" s="310">
        <f>(R191+S191+T191)*'1.0-Contractblad'!$L$37</f>
        <v>0</v>
      </c>
      <c r="AA191" s="310">
        <f ca="1">VLOOKUP(E191,'1.2-Jaarprijzen'!$B$51:$Q$88,16,FALSE)*K191</f>
        <v>0</v>
      </c>
      <c r="AC191" s="226">
        <f t="shared" si="48"/>
        <v>0</v>
      </c>
      <c r="AD191" s="226" t="str">
        <f t="shared" si="49"/>
        <v>nvt-0</v>
      </c>
    </row>
    <row r="192" spans="2:30" ht="12.5">
      <c r="B192" s="336"/>
      <c r="C192" s="337"/>
      <c r="D192" s="302">
        <f>VLOOKUP(E192,'1.2-Jaarprijzen'!B:G,6,FALSE)</f>
        <v>1</v>
      </c>
      <c r="E192" s="522" t="s">
        <v>82</v>
      </c>
      <c r="F192" s="302" t="s">
        <v>397</v>
      </c>
      <c r="G192" s="525" t="s">
        <v>409</v>
      </c>
      <c r="H192" s="523" t="s">
        <v>402</v>
      </c>
      <c r="I192" s="303" t="str">
        <f t="shared" si="50"/>
        <v>trappenhuis</v>
      </c>
      <c r="J192" s="302" t="s">
        <v>208</v>
      </c>
      <c r="K192" s="304">
        <v>5.52</v>
      </c>
      <c r="L192" s="304"/>
      <c r="M192" s="305">
        <v>9200</v>
      </c>
      <c r="N192" s="302"/>
      <c r="O192" s="306">
        <f t="shared" si="51"/>
        <v>200</v>
      </c>
      <c r="P192" s="472">
        <v>1</v>
      </c>
      <c r="Q192" s="472">
        <v>1</v>
      </c>
      <c r="R192" s="300">
        <f t="shared" si="52"/>
        <v>3.8956140720367656</v>
      </c>
      <c r="S192" s="300">
        <f t="shared" si="53"/>
        <v>0.24277015231533469</v>
      </c>
      <c r="T192" s="300">
        <f t="shared" si="54"/>
        <v>0</v>
      </c>
      <c r="U192" s="307">
        <f t="shared" si="55"/>
        <v>0.70572718696318226</v>
      </c>
      <c r="V192" s="307">
        <f t="shared" si="56"/>
        <v>4.3980100057125854E-2</v>
      </c>
      <c r="W192" s="307">
        <f t="shared" si="57"/>
        <v>0</v>
      </c>
      <c r="X192" s="308" t="str">
        <f t="shared" si="58"/>
        <v>V</v>
      </c>
      <c r="Y192" s="309"/>
      <c r="Z192" s="310">
        <f>(R192+S192+T192)*'1.0-Contractblad'!$L$37</f>
        <v>125.6730987344659</v>
      </c>
      <c r="AA192" s="310">
        <f ca="1">VLOOKUP(E192,'1.2-Jaarprijzen'!$B$51:$Q$88,16,FALSE)*K192</f>
        <v>0</v>
      </c>
      <c r="AC192" s="226">
        <f t="shared" si="48"/>
        <v>1104</v>
      </c>
      <c r="AD192" s="226" t="str">
        <f t="shared" si="49"/>
        <v>9200-200</v>
      </c>
    </row>
    <row r="193" spans="2:30" ht="12.5">
      <c r="B193" s="336"/>
      <c r="C193" s="337"/>
      <c r="D193" s="302">
        <f>VLOOKUP(E193,'1.2-Jaarprijzen'!B:G,6,FALSE)</f>
        <v>1</v>
      </c>
      <c r="E193" s="522" t="s">
        <v>82</v>
      </c>
      <c r="F193" s="302" t="s">
        <v>410</v>
      </c>
      <c r="G193" s="525" t="s">
        <v>411</v>
      </c>
      <c r="H193" s="523" t="s">
        <v>277</v>
      </c>
      <c r="I193" s="303" t="str">
        <f t="shared" si="50"/>
        <v>entree, gang, hal, repro, kopieer, was/droogruimte</v>
      </c>
      <c r="J193" s="302" t="s">
        <v>229</v>
      </c>
      <c r="K193" s="304">
        <v>24.189999999999998</v>
      </c>
      <c r="L193" s="304"/>
      <c r="M193" s="305">
        <v>3200</v>
      </c>
      <c r="N193" s="302"/>
      <c r="O193" s="306">
        <f t="shared" si="51"/>
        <v>200</v>
      </c>
      <c r="P193" s="472">
        <v>1</v>
      </c>
      <c r="Q193" s="472">
        <v>1</v>
      </c>
      <c r="R193" s="300">
        <f t="shared" si="52"/>
        <v>9.1048216814076675</v>
      </c>
      <c r="S193" s="300">
        <f t="shared" si="53"/>
        <v>2.7462913223811176</v>
      </c>
      <c r="T193" s="300">
        <f t="shared" si="54"/>
        <v>0</v>
      </c>
      <c r="U193" s="307">
        <f t="shared" si="55"/>
        <v>0.37638783304703055</v>
      </c>
      <c r="V193" s="307">
        <f t="shared" si="56"/>
        <v>0.11353002572885977</v>
      </c>
      <c r="W193" s="307">
        <f t="shared" si="57"/>
        <v>0</v>
      </c>
      <c r="X193" s="308" t="str">
        <f t="shared" si="58"/>
        <v>V</v>
      </c>
      <c r="Y193" s="309"/>
      <c r="Z193" s="310">
        <f>(R193+S193+T193)*'1.0-Contractblad'!$L$37</f>
        <v>359.89072398700102</v>
      </c>
      <c r="AA193" s="310">
        <f ca="1">VLOOKUP(E193,'1.2-Jaarprijzen'!$B$51:$Q$88,16,FALSE)*K193</f>
        <v>0</v>
      </c>
      <c r="AC193" s="226">
        <f t="shared" si="48"/>
        <v>4838</v>
      </c>
      <c r="AD193" s="226" t="str">
        <f t="shared" si="49"/>
        <v>3200-200</v>
      </c>
    </row>
    <row r="194" spans="2:30" ht="12.5">
      <c r="B194" s="336"/>
      <c r="C194" s="337"/>
      <c r="D194" s="302">
        <f>VLOOKUP(E194,'1.2-Jaarprijzen'!B:G,6,FALSE)</f>
        <v>1</v>
      </c>
      <c r="E194" s="522" t="s">
        <v>82</v>
      </c>
      <c r="F194" s="302" t="s">
        <v>410</v>
      </c>
      <c r="G194" s="525" t="s">
        <v>412</v>
      </c>
      <c r="H194" s="523" t="s">
        <v>371</v>
      </c>
      <c r="I194" s="303" t="str">
        <f t="shared" si="50"/>
        <v>trappenhuis</v>
      </c>
      <c r="J194" s="302" t="s">
        <v>208</v>
      </c>
      <c r="K194" s="304">
        <v>12.6</v>
      </c>
      <c r="L194" s="304"/>
      <c r="M194" s="305">
        <v>9200</v>
      </c>
      <c r="N194" s="302"/>
      <c r="O194" s="306">
        <f t="shared" si="51"/>
        <v>200</v>
      </c>
      <c r="P194" s="472">
        <v>1</v>
      </c>
      <c r="Q194" s="472">
        <v>1</v>
      </c>
      <c r="R194" s="300">
        <f t="shared" si="52"/>
        <v>8.8921625557360962</v>
      </c>
      <c r="S194" s="300">
        <f t="shared" si="53"/>
        <v>0.55414926071978576</v>
      </c>
      <c r="T194" s="300">
        <f t="shared" si="54"/>
        <v>0</v>
      </c>
      <c r="U194" s="307">
        <f t="shared" si="55"/>
        <v>0.70572718696318226</v>
      </c>
      <c r="V194" s="307">
        <f t="shared" si="56"/>
        <v>4.3980100057125854E-2</v>
      </c>
      <c r="W194" s="307">
        <f t="shared" si="57"/>
        <v>0</v>
      </c>
      <c r="X194" s="308" t="str">
        <f t="shared" si="58"/>
        <v>V</v>
      </c>
      <c r="Y194" s="309"/>
      <c r="Z194" s="310">
        <f>(R194+S194+T194)*'1.0-Contractblad'!$L$37</f>
        <v>286.86250798084615</v>
      </c>
      <c r="AA194" s="310">
        <f ca="1">VLOOKUP(E194,'1.2-Jaarprijzen'!$B$51:$Q$88,16,FALSE)*K194</f>
        <v>0</v>
      </c>
      <c r="AC194" s="226">
        <f t="shared" si="48"/>
        <v>2520</v>
      </c>
      <c r="AD194" s="226" t="str">
        <f t="shared" si="49"/>
        <v>9200-200</v>
      </c>
    </row>
    <row r="195" spans="2:30" ht="12.5">
      <c r="B195" s="336"/>
      <c r="C195" s="337"/>
      <c r="D195" s="302">
        <f>VLOOKUP(E195,'1.2-Jaarprijzen'!B:G,6,FALSE)</f>
        <v>1</v>
      </c>
      <c r="E195" s="522" t="s">
        <v>82</v>
      </c>
      <c r="F195" s="302" t="s">
        <v>410</v>
      </c>
      <c r="G195" s="525" t="s">
        <v>413</v>
      </c>
      <c r="H195" s="523" t="s">
        <v>220</v>
      </c>
      <c r="I195" s="303" t="str">
        <f t="shared" si="50"/>
        <v>sanitaire ruimte (toilet-/doucheruimte)</v>
      </c>
      <c r="J195" s="302" t="s">
        <v>229</v>
      </c>
      <c r="K195" s="304">
        <v>1.2</v>
      </c>
      <c r="L195" s="304"/>
      <c r="M195" s="305">
        <v>4200</v>
      </c>
      <c r="N195" s="302"/>
      <c r="O195" s="306">
        <f t="shared" si="51"/>
        <v>200</v>
      </c>
      <c r="P195" s="472">
        <v>1</v>
      </c>
      <c r="Q195" s="472">
        <v>1</v>
      </c>
      <c r="R195" s="300">
        <f t="shared" si="52"/>
        <v>3.2161437805454831</v>
      </c>
      <c r="S195" s="300">
        <f t="shared" si="53"/>
        <v>0.56755478480214405</v>
      </c>
      <c r="T195" s="300">
        <f t="shared" si="54"/>
        <v>0</v>
      </c>
      <c r="U195" s="307">
        <f t="shared" si="55"/>
        <v>2.6801198171212359</v>
      </c>
      <c r="V195" s="307">
        <f t="shared" si="56"/>
        <v>0.4729623206684534</v>
      </c>
      <c r="W195" s="307">
        <f t="shared" si="57"/>
        <v>0</v>
      </c>
      <c r="X195" s="308" t="str">
        <f t="shared" si="58"/>
        <v>S</v>
      </c>
      <c r="Y195" s="309"/>
      <c r="Z195" s="310">
        <f>(R195+S195+T195)*'1.0-Contractblad'!$L$37</f>
        <v>114.90212063594323</v>
      </c>
      <c r="AA195" s="310">
        <f ca="1">VLOOKUP(E195,'1.2-Jaarprijzen'!$B$51:$Q$88,16,FALSE)*K195</f>
        <v>0</v>
      </c>
      <c r="AC195" s="226">
        <f t="shared" si="48"/>
        <v>240</v>
      </c>
      <c r="AD195" s="226" t="str">
        <f t="shared" si="49"/>
        <v>4200-200</v>
      </c>
    </row>
    <row r="196" spans="2:30" ht="12.5">
      <c r="B196" s="336"/>
      <c r="C196" s="337"/>
      <c r="D196" s="302">
        <f>VLOOKUP(E196,'1.2-Jaarprijzen'!B:G,6,FALSE)</f>
        <v>1</v>
      </c>
      <c r="E196" s="522" t="s">
        <v>82</v>
      </c>
      <c r="F196" s="302" t="s">
        <v>410</v>
      </c>
      <c r="G196" s="525" t="s">
        <v>414</v>
      </c>
      <c r="H196" s="524" t="s">
        <v>315</v>
      </c>
      <c r="I196" s="303" t="str">
        <f t="shared" si="50"/>
        <v>administratieve -, personeels- en vergaderruimte</v>
      </c>
      <c r="J196" s="302" t="s">
        <v>229</v>
      </c>
      <c r="K196" s="304">
        <v>9.4</v>
      </c>
      <c r="L196" s="304"/>
      <c r="M196" s="305">
        <v>1080</v>
      </c>
      <c r="N196" s="302"/>
      <c r="O196" s="306">
        <f t="shared" si="51"/>
        <v>80</v>
      </c>
      <c r="P196" s="472">
        <v>1</v>
      </c>
      <c r="Q196" s="472">
        <v>1</v>
      </c>
      <c r="R196" s="300">
        <f t="shared" si="52"/>
        <v>1.966769230769231</v>
      </c>
      <c r="S196" s="300">
        <f t="shared" si="53"/>
        <v>0.34707692307692312</v>
      </c>
      <c r="T196" s="300">
        <f t="shared" si="54"/>
        <v>0</v>
      </c>
      <c r="U196" s="307">
        <f t="shared" si="55"/>
        <v>0.20923076923076925</v>
      </c>
      <c r="V196" s="307">
        <f t="shared" si="56"/>
        <v>3.6923076923076927E-2</v>
      </c>
      <c r="W196" s="307">
        <f t="shared" si="57"/>
        <v>0</v>
      </c>
      <c r="X196" s="308" t="str">
        <f t="shared" si="58"/>
        <v>V</v>
      </c>
      <c r="Y196" s="309"/>
      <c r="Z196" s="310">
        <f>(R196+S196+T196)*'1.0-Contractblad'!$L$37</f>
        <v>70.266123294580595</v>
      </c>
      <c r="AA196" s="310">
        <f ca="1">VLOOKUP(E196,'1.2-Jaarprijzen'!$B$51:$Q$88,16,FALSE)*K196</f>
        <v>0</v>
      </c>
      <c r="AC196" s="226">
        <f t="shared" si="48"/>
        <v>752</v>
      </c>
      <c r="AD196" s="226" t="str">
        <f t="shared" si="49"/>
        <v>1080-80</v>
      </c>
    </row>
    <row r="197" spans="2:30" ht="12.5">
      <c r="B197" s="336"/>
      <c r="C197" s="337"/>
      <c r="D197" s="302">
        <f>VLOOKUP(E197,'1.2-Jaarprijzen'!B:G,6,FALSE)</f>
        <v>1</v>
      </c>
      <c r="E197" s="522" t="s">
        <v>82</v>
      </c>
      <c r="F197" s="302" t="s">
        <v>410</v>
      </c>
      <c r="G197" s="525" t="s">
        <v>415</v>
      </c>
      <c r="H197" s="523" t="s">
        <v>416</v>
      </c>
      <c r="I197" s="303" t="str">
        <f t="shared" si="50"/>
        <v>kleedruimten</v>
      </c>
      <c r="J197" s="302" t="s">
        <v>229</v>
      </c>
      <c r="K197" s="304">
        <v>30.9</v>
      </c>
      <c r="L197" s="304"/>
      <c r="M197" s="305">
        <v>13200</v>
      </c>
      <c r="N197" s="302"/>
      <c r="O197" s="306">
        <f t="shared" si="51"/>
        <v>200</v>
      </c>
      <c r="P197" s="472">
        <v>1</v>
      </c>
      <c r="Q197" s="472">
        <v>1</v>
      </c>
      <c r="R197" s="300">
        <f t="shared" si="52"/>
        <v>36.913827608877689</v>
      </c>
      <c r="S197" s="300">
        <f t="shared" si="53"/>
        <v>4.6142284511097111</v>
      </c>
      <c r="T197" s="300">
        <f t="shared" si="54"/>
        <v>0</v>
      </c>
      <c r="U197" s="307">
        <f t="shared" si="55"/>
        <v>1.1946222527144883</v>
      </c>
      <c r="V197" s="307">
        <f t="shared" si="56"/>
        <v>0.14932778158931104</v>
      </c>
      <c r="W197" s="307">
        <f t="shared" si="57"/>
        <v>0</v>
      </c>
      <c r="X197" s="308" t="str">
        <f t="shared" si="58"/>
        <v>V</v>
      </c>
      <c r="Y197" s="309"/>
      <c r="Z197" s="310">
        <f>(R197+S197+T197)*'1.0-Contractblad'!$L$37</f>
        <v>1261.1104253603482</v>
      </c>
      <c r="AA197" s="310">
        <f ca="1">VLOOKUP(E197,'1.2-Jaarprijzen'!$B$51:$Q$88,16,FALSE)*K197</f>
        <v>0</v>
      </c>
      <c r="AC197" s="226">
        <f t="shared" si="48"/>
        <v>6180</v>
      </c>
      <c r="AD197" s="226" t="str">
        <f t="shared" si="49"/>
        <v>13200-200</v>
      </c>
    </row>
    <row r="198" spans="2:30" ht="12.5">
      <c r="B198" s="336"/>
      <c r="C198" s="337"/>
      <c r="D198" s="302">
        <f>VLOOKUP(E198,'1.2-Jaarprijzen'!B:G,6,FALSE)</f>
        <v>1</v>
      </c>
      <c r="E198" s="522" t="s">
        <v>82</v>
      </c>
      <c r="F198" s="302" t="s">
        <v>410</v>
      </c>
      <c r="G198" s="525" t="s">
        <v>417</v>
      </c>
      <c r="H198" s="523" t="s">
        <v>418</v>
      </c>
      <c r="I198" s="303" t="str">
        <f t="shared" si="50"/>
        <v>sanitaire ruimte (toilet-/doucheruimte)</v>
      </c>
      <c r="J198" s="302" t="s">
        <v>221</v>
      </c>
      <c r="K198" s="304">
        <v>10.1</v>
      </c>
      <c r="L198" s="304"/>
      <c r="M198" s="305">
        <v>4200</v>
      </c>
      <c r="N198" s="302"/>
      <c r="O198" s="306">
        <f t="shared" si="51"/>
        <v>200</v>
      </c>
      <c r="P198" s="472">
        <v>1</v>
      </c>
      <c r="Q198" s="472">
        <v>1</v>
      </c>
      <c r="R198" s="300">
        <f t="shared" si="52"/>
        <v>27.06921015292448</v>
      </c>
      <c r="S198" s="300">
        <f t="shared" si="53"/>
        <v>4.7769194387513787</v>
      </c>
      <c r="T198" s="300">
        <f t="shared" si="54"/>
        <v>0</v>
      </c>
      <c r="U198" s="307">
        <f t="shared" si="55"/>
        <v>2.6801198171212359</v>
      </c>
      <c r="V198" s="307">
        <f t="shared" si="56"/>
        <v>0.4729623206684534</v>
      </c>
      <c r="W198" s="307">
        <f t="shared" si="57"/>
        <v>0</v>
      </c>
      <c r="X198" s="308" t="str">
        <f t="shared" si="58"/>
        <v>S</v>
      </c>
      <c r="Y198" s="309"/>
      <c r="Z198" s="310">
        <f>(R198+S198+T198)*'1.0-Contractblad'!$L$37</f>
        <v>967.09284868585542</v>
      </c>
      <c r="AA198" s="310">
        <f ca="1">VLOOKUP(E198,'1.2-Jaarprijzen'!$B$51:$Q$88,16,FALSE)*K198</f>
        <v>0</v>
      </c>
      <c r="AC198" s="226">
        <f t="shared" si="48"/>
        <v>2020</v>
      </c>
      <c r="AD198" s="226" t="str">
        <f t="shared" si="49"/>
        <v>4200-200</v>
      </c>
    </row>
    <row r="199" spans="2:30" ht="12.5">
      <c r="B199" s="336"/>
      <c r="C199" s="337"/>
      <c r="D199" s="302">
        <f>VLOOKUP(E199,'1.2-Jaarprijzen'!B:G,6,FALSE)</f>
        <v>1</v>
      </c>
      <c r="E199" s="522" t="s">
        <v>82</v>
      </c>
      <c r="F199" s="302" t="s">
        <v>410</v>
      </c>
      <c r="G199" s="525" t="s">
        <v>419</v>
      </c>
      <c r="H199" s="523" t="s">
        <v>220</v>
      </c>
      <c r="I199" s="303" t="str">
        <f t="shared" si="50"/>
        <v>sanitaire ruimte (toilet-/doucheruimte)</v>
      </c>
      <c r="J199" s="302" t="s">
        <v>229</v>
      </c>
      <c r="K199" s="304">
        <v>1.2</v>
      </c>
      <c r="L199" s="304"/>
      <c r="M199" s="305">
        <v>4200</v>
      </c>
      <c r="N199" s="302"/>
      <c r="O199" s="306">
        <f t="shared" si="51"/>
        <v>200</v>
      </c>
      <c r="P199" s="472">
        <v>1</v>
      </c>
      <c r="Q199" s="472">
        <v>1</v>
      </c>
      <c r="R199" s="300">
        <f t="shared" si="52"/>
        <v>3.2161437805454831</v>
      </c>
      <c r="S199" s="300">
        <f t="shared" si="53"/>
        <v>0.56755478480214405</v>
      </c>
      <c r="T199" s="300">
        <f t="shared" si="54"/>
        <v>0</v>
      </c>
      <c r="U199" s="307">
        <f t="shared" si="55"/>
        <v>2.6801198171212359</v>
      </c>
      <c r="V199" s="307">
        <f t="shared" si="56"/>
        <v>0.4729623206684534</v>
      </c>
      <c r="W199" s="307">
        <f t="shared" si="57"/>
        <v>0</v>
      </c>
      <c r="X199" s="308" t="str">
        <f t="shared" si="58"/>
        <v>S</v>
      </c>
      <c r="Y199" s="309"/>
      <c r="Z199" s="310">
        <f>(R199+S199+T199)*'1.0-Contractblad'!$L$37</f>
        <v>114.90212063594323</v>
      </c>
      <c r="AA199" s="310">
        <f ca="1">VLOOKUP(E199,'1.2-Jaarprijzen'!$B$51:$Q$88,16,FALSE)*K199</f>
        <v>0</v>
      </c>
      <c r="AC199" s="226">
        <f t="shared" si="48"/>
        <v>240</v>
      </c>
      <c r="AD199" s="226" t="str">
        <f t="shared" si="49"/>
        <v>4200-200</v>
      </c>
    </row>
    <row r="200" spans="2:30" ht="12.5">
      <c r="B200" s="336"/>
      <c r="C200" s="337"/>
      <c r="D200" s="302">
        <f>VLOOKUP(E200,'1.2-Jaarprijzen'!B:G,6,FALSE)</f>
        <v>1</v>
      </c>
      <c r="E200" s="522" t="s">
        <v>82</v>
      </c>
      <c r="F200" s="302" t="s">
        <v>410</v>
      </c>
      <c r="G200" s="525" t="s">
        <v>420</v>
      </c>
      <c r="H200" s="523" t="s">
        <v>421</v>
      </c>
      <c r="I200" s="303" t="str">
        <f t="shared" si="50"/>
        <v>kleedruimten</v>
      </c>
      <c r="J200" s="302" t="s">
        <v>229</v>
      </c>
      <c r="K200" s="304">
        <v>3.8</v>
      </c>
      <c r="L200" s="304"/>
      <c r="M200" s="305">
        <v>13200</v>
      </c>
      <c r="N200" s="302"/>
      <c r="O200" s="306">
        <f t="shared" si="51"/>
        <v>200</v>
      </c>
      <c r="P200" s="472">
        <v>1</v>
      </c>
      <c r="Q200" s="472">
        <v>1</v>
      </c>
      <c r="R200" s="300">
        <f t="shared" si="52"/>
        <v>4.5395645603150552</v>
      </c>
      <c r="S200" s="300">
        <f t="shared" si="53"/>
        <v>0.5674455700393819</v>
      </c>
      <c r="T200" s="300">
        <f t="shared" si="54"/>
        <v>0</v>
      </c>
      <c r="U200" s="307">
        <f t="shared" si="55"/>
        <v>1.1946222527144883</v>
      </c>
      <c r="V200" s="307">
        <f t="shared" si="56"/>
        <v>0.14932778158931104</v>
      </c>
      <c r="W200" s="307">
        <f t="shared" si="57"/>
        <v>0</v>
      </c>
      <c r="X200" s="308" t="str">
        <f t="shared" si="58"/>
        <v>V</v>
      </c>
      <c r="Y200" s="309"/>
      <c r="Z200" s="310">
        <f>(R200+S200+T200)*'1.0-Contractblad'!$L$37</f>
        <v>155.08801347473539</v>
      </c>
      <c r="AA200" s="310">
        <f ca="1">VLOOKUP(E200,'1.2-Jaarprijzen'!$B$51:$Q$88,16,FALSE)*K200</f>
        <v>0</v>
      </c>
      <c r="AC200" s="226">
        <f t="shared" si="48"/>
        <v>760</v>
      </c>
      <c r="AD200" s="226" t="str">
        <f t="shared" si="49"/>
        <v>13200-200</v>
      </c>
    </row>
    <row r="201" spans="2:30" ht="12.5">
      <c r="B201" s="336"/>
      <c r="C201" s="337"/>
      <c r="D201" s="302">
        <f>VLOOKUP(E201,'1.2-Jaarprijzen'!B:G,6,FALSE)</f>
        <v>1</v>
      </c>
      <c r="E201" s="522" t="s">
        <v>82</v>
      </c>
      <c r="F201" s="302" t="s">
        <v>410</v>
      </c>
      <c r="G201" s="525" t="s">
        <v>420</v>
      </c>
      <c r="H201" s="523" t="s">
        <v>249</v>
      </c>
      <c r="I201" s="303" t="str">
        <f t="shared" si="50"/>
        <v>sanitaire ruimte (toilet-/doucheruimte)</v>
      </c>
      <c r="J201" s="302" t="s">
        <v>221</v>
      </c>
      <c r="K201" s="304">
        <v>1.2</v>
      </c>
      <c r="L201" s="304"/>
      <c r="M201" s="305">
        <v>4200</v>
      </c>
      <c r="N201" s="302"/>
      <c r="O201" s="306">
        <f t="shared" si="51"/>
        <v>200</v>
      </c>
      <c r="P201" s="472">
        <v>1</v>
      </c>
      <c r="Q201" s="472">
        <v>1</v>
      </c>
      <c r="R201" s="300">
        <f t="shared" si="52"/>
        <v>3.2161437805454831</v>
      </c>
      <c r="S201" s="300">
        <f t="shared" si="53"/>
        <v>0.56755478480214405</v>
      </c>
      <c r="T201" s="300">
        <f t="shared" si="54"/>
        <v>0</v>
      </c>
      <c r="U201" s="307">
        <f t="shared" si="55"/>
        <v>2.6801198171212359</v>
      </c>
      <c r="V201" s="307">
        <f t="shared" si="56"/>
        <v>0.4729623206684534</v>
      </c>
      <c r="W201" s="307">
        <f t="shared" si="57"/>
        <v>0</v>
      </c>
      <c r="X201" s="308" t="str">
        <f t="shared" si="58"/>
        <v>S</v>
      </c>
      <c r="Y201" s="309"/>
      <c r="Z201" s="310">
        <f>(R201+S201+T201)*'1.0-Contractblad'!$L$37</f>
        <v>114.90212063594323</v>
      </c>
      <c r="AA201" s="310">
        <f ca="1">VLOOKUP(E201,'1.2-Jaarprijzen'!$B$51:$Q$88,16,FALSE)*K201</f>
        <v>0</v>
      </c>
      <c r="AC201" s="226">
        <f t="shared" si="48"/>
        <v>240</v>
      </c>
      <c r="AD201" s="226" t="str">
        <f t="shared" si="49"/>
        <v>4200-200</v>
      </c>
    </row>
    <row r="202" spans="2:30" ht="12.5">
      <c r="B202" s="336"/>
      <c r="C202" s="337"/>
      <c r="D202" s="302">
        <f>VLOOKUP(E202,'1.2-Jaarprijzen'!B:G,6,FALSE)</f>
        <v>1</v>
      </c>
      <c r="E202" s="522" t="s">
        <v>82</v>
      </c>
      <c r="F202" s="302" t="s">
        <v>410</v>
      </c>
      <c r="G202" s="525" t="s">
        <v>422</v>
      </c>
      <c r="H202" s="523" t="s">
        <v>423</v>
      </c>
      <c r="I202" s="303" t="str">
        <f t="shared" si="50"/>
        <v>kleedruimten</v>
      </c>
      <c r="J202" s="302" t="s">
        <v>229</v>
      </c>
      <c r="K202" s="304">
        <v>26.4</v>
      </c>
      <c r="L202" s="304"/>
      <c r="M202" s="305">
        <v>13200</v>
      </c>
      <c r="N202" s="302"/>
      <c r="O202" s="306">
        <f t="shared" si="51"/>
        <v>200</v>
      </c>
      <c r="P202" s="472">
        <v>1</v>
      </c>
      <c r="Q202" s="472">
        <v>1</v>
      </c>
      <c r="R202" s="300">
        <f t="shared" si="52"/>
        <v>31.538027471662488</v>
      </c>
      <c r="S202" s="300">
        <f t="shared" si="53"/>
        <v>3.942253433957811</v>
      </c>
      <c r="T202" s="300">
        <f t="shared" si="54"/>
        <v>0</v>
      </c>
      <c r="U202" s="307">
        <f t="shared" si="55"/>
        <v>1.1946222527144883</v>
      </c>
      <c r="V202" s="307">
        <f t="shared" si="56"/>
        <v>0.14932778158931104</v>
      </c>
      <c r="W202" s="307">
        <f t="shared" si="57"/>
        <v>0</v>
      </c>
      <c r="X202" s="308" t="str">
        <f t="shared" si="58"/>
        <v>V</v>
      </c>
      <c r="Y202" s="309"/>
      <c r="Z202" s="310">
        <f>(R202+S202+T202)*'1.0-Contractblad'!$L$37</f>
        <v>1077.4535672981615</v>
      </c>
      <c r="AA202" s="310">
        <f ca="1">VLOOKUP(E202,'1.2-Jaarprijzen'!$B$51:$Q$88,16,FALSE)*K202</f>
        <v>0</v>
      </c>
      <c r="AC202" s="226">
        <f t="shared" si="48"/>
        <v>5280</v>
      </c>
      <c r="AD202" s="226" t="str">
        <f t="shared" si="49"/>
        <v>13200-200</v>
      </c>
    </row>
    <row r="203" spans="2:30" ht="12.5">
      <c r="B203" s="336"/>
      <c r="C203" s="337"/>
      <c r="D203" s="302">
        <f>VLOOKUP(E203,'1.2-Jaarprijzen'!B:G,6,FALSE)</f>
        <v>1</v>
      </c>
      <c r="E203" s="522" t="s">
        <v>82</v>
      </c>
      <c r="F203" s="302" t="s">
        <v>410</v>
      </c>
      <c r="G203" s="525" t="s">
        <v>424</v>
      </c>
      <c r="H203" s="523" t="s">
        <v>425</v>
      </c>
      <c r="I203" s="303" t="str">
        <f t="shared" si="50"/>
        <v>sanitaire ruimte (toilet-/doucheruimte)</v>
      </c>
      <c r="J203" s="302" t="s">
        <v>221</v>
      </c>
      <c r="K203" s="304">
        <v>9.620000000000001</v>
      </c>
      <c r="L203" s="304"/>
      <c r="M203" s="305">
        <v>4200</v>
      </c>
      <c r="N203" s="302"/>
      <c r="O203" s="306">
        <f t="shared" si="51"/>
        <v>200</v>
      </c>
      <c r="P203" s="472">
        <v>1</v>
      </c>
      <c r="Q203" s="472">
        <v>1</v>
      </c>
      <c r="R203" s="300">
        <f t="shared" si="52"/>
        <v>25.782752640706292</v>
      </c>
      <c r="S203" s="300">
        <f t="shared" si="53"/>
        <v>4.5498975248305218</v>
      </c>
      <c r="T203" s="300">
        <f t="shared" si="54"/>
        <v>0</v>
      </c>
      <c r="U203" s="307">
        <f t="shared" si="55"/>
        <v>2.6801198171212359</v>
      </c>
      <c r="V203" s="307">
        <f t="shared" si="56"/>
        <v>0.4729623206684534</v>
      </c>
      <c r="W203" s="307">
        <f t="shared" si="57"/>
        <v>0</v>
      </c>
      <c r="X203" s="308" t="str">
        <f t="shared" si="58"/>
        <v>S</v>
      </c>
      <c r="Y203" s="309"/>
      <c r="Z203" s="310">
        <f>(R203+S203+T203)*'1.0-Contractblad'!$L$37</f>
        <v>921.13200043147822</v>
      </c>
      <c r="AA203" s="310">
        <f ca="1">VLOOKUP(E203,'1.2-Jaarprijzen'!$B$51:$Q$88,16,FALSE)*K203</f>
        <v>0</v>
      </c>
      <c r="AC203" s="226">
        <f t="shared" si="48"/>
        <v>1924.0000000000002</v>
      </c>
      <c r="AD203" s="226" t="str">
        <f t="shared" si="49"/>
        <v>4200-200</v>
      </c>
    </row>
    <row r="204" spans="2:30" ht="12.5">
      <c r="B204" s="336"/>
      <c r="C204" s="337"/>
      <c r="D204" s="302">
        <f>VLOOKUP(E204,'1.2-Jaarprijzen'!B:G,6,FALSE)</f>
        <v>1</v>
      </c>
      <c r="E204" s="522" t="s">
        <v>82</v>
      </c>
      <c r="F204" s="302" t="s">
        <v>410</v>
      </c>
      <c r="G204" s="525" t="s">
        <v>426</v>
      </c>
      <c r="H204" s="523" t="s">
        <v>220</v>
      </c>
      <c r="I204" s="303" t="str">
        <f t="shared" si="50"/>
        <v>sanitaire ruimte (toilet-/doucheruimte)</v>
      </c>
      <c r="J204" s="302" t="s">
        <v>229</v>
      </c>
      <c r="K204" s="304">
        <v>1.2</v>
      </c>
      <c r="L204" s="304"/>
      <c r="M204" s="305">
        <v>4200</v>
      </c>
      <c r="N204" s="302"/>
      <c r="O204" s="306">
        <f t="shared" si="51"/>
        <v>200</v>
      </c>
      <c r="P204" s="472">
        <v>1</v>
      </c>
      <c r="Q204" s="472">
        <v>1</v>
      </c>
      <c r="R204" s="300">
        <f t="shared" si="52"/>
        <v>3.2161437805454831</v>
      </c>
      <c r="S204" s="300">
        <f t="shared" si="53"/>
        <v>0.56755478480214405</v>
      </c>
      <c r="T204" s="300">
        <f t="shared" si="54"/>
        <v>0</v>
      </c>
      <c r="U204" s="307">
        <f t="shared" si="55"/>
        <v>2.6801198171212359</v>
      </c>
      <c r="V204" s="307">
        <f t="shared" si="56"/>
        <v>0.4729623206684534</v>
      </c>
      <c r="W204" s="307">
        <f t="shared" si="57"/>
        <v>0</v>
      </c>
      <c r="X204" s="308" t="str">
        <f t="shared" si="58"/>
        <v>S</v>
      </c>
      <c r="Y204" s="309"/>
      <c r="Z204" s="310">
        <f>(R204+S204+T204)*'1.0-Contractblad'!$L$37</f>
        <v>114.90212063594323</v>
      </c>
      <c r="AA204" s="310">
        <f ca="1">VLOOKUP(E204,'1.2-Jaarprijzen'!$B$51:$Q$88,16,FALSE)*K204</f>
        <v>0</v>
      </c>
      <c r="AC204" s="226">
        <f t="shared" si="48"/>
        <v>240</v>
      </c>
      <c r="AD204" s="226" t="str">
        <f t="shared" si="49"/>
        <v>4200-200</v>
      </c>
    </row>
    <row r="205" spans="2:30" ht="12.5">
      <c r="B205" s="336"/>
      <c r="C205" s="337"/>
      <c r="D205" s="302">
        <f>VLOOKUP(E205,'1.2-Jaarprijzen'!B:G,6,FALSE)</f>
        <v>1</v>
      </c>
      <c r="E205" s="522" t="s">
        <v>82</v>
      </c>
      <c r="F205" s="302" t="s">
        <v>410</v>
      </c>
      <c r="G205" s="525" t="s">
        <v>427</v>
      </c>
      <c r="H205" s="523" t="s">
        <v>220</v>
      </c>
      <c r="I205" s="303" t="str">
        <f t="shared" si="50"/>
        <v>sanitaire ruimte (toilet-/doucheruimte)</v>
      </c>
      <c r="J205" s="302" t="s">
        <v>229</v>
      </c>
      <c r="K205" s="304">
        <v>1.2</v>
      </c>
      <c r="L205" s="304"/>
      <c r="M205" s="305">
        <v>4200</v>
      </c>
      <c r="N205" s="302"/>
      <c r="O205" s="306">
        <f t="shared" si="51"/>
        <v>200</v>
      </c>
      <c r="P205" s="472">
        <v>1</v>
      </c>
      <c r="Q205" s="472">
        <v>1</v>
      </c>
      <c r="R205" s="300">
        <f t="shared" si="52"/>
        <v>3.2161437805454831</v>
      </c>
      <c r="S205" s="300">
        <f t="shared" si="53"/>
        <v>0.56755478480214405</v>
      </c>
      <c r="T205" s="300">
        <f t="shared" si="54"/>
        <v>0</v>
      </c>
      <c r="U205" s="307">
        <f t="shared" si="55"/>
        <v>2.6801198171212359</v>
      </c>
      <c r="V205" s="307">
        <f t="shared" si="56"/>
        <v>0.4729623206684534</v>
      </c>
      <c r="W205" s="307">
        <f t="shared" si="57"/>
        <v>0</v>
      </c>
      <c r="X205" s="308" t="str">
        <f t="shared" si="58"/>
        <v>S</v>
      </c>
      <c r="Y205" s="309"/>
      <c r="Z205" s="310">
        <f>(R205+S205+T205)*'1.0-Contractblad'!$L$37</f>
        <v>114.90212063594323</v>
      </c>
      <c r="AA205" s="310">
        <f ca="1">VLOOKUP(E205,'1.2-Jaarprijzen'!$B$51:$Q$88,16,FALSE)*K205</f>
        <v>0</v>
      </c>
      <c r="AC205" s="226">
        <f t="shared" si="48"/>
        <v>240</v>
      </c>
      <c r="AD205" s="226" t="str">
        <f t="shared" si="49"/>
        <v>4200-200</v>
      </c>
    </row>
    <row r="206" spans="2:30" ht="12.5">
      <c r="B206" s="336"/>
      <c r="C206" s="337"/>
      <c r="D206" s="302">
        <f>VLOOKUP(E206,'1.2-Jaarprijzen'!B:G,6,FALSE)</f>
        <v>1</v>
      </c>
      <c r="E206" s="522" t="s">
        <v>82</v>
      </c>
      <c r="F206" s="302" t="s">
        <v>410</v>
      </c>
      <c r="G206" s="525" t="s">
        <v>428</v>
      </c>
      <c r="H206" s="523" t="s">
        <v>280</v>
      </c>
      <c r="I206" s="303" t="str">
        <f t="shared" si="50"/>
        <v>entree, gang, hal, repro, kopieer, was/droogruimte</v>
      </c>
      <c r="J206" s="302" t="s">
        <v>229</v>
      </c>
      <c r="K206" s="304">
        <v>19.25</v>
      </c>
      <c r="L206" s="304"/>
      <c r="M206" s="305">
        <v>3200</v>
      </c>
      <c r="N206" s="302"/>
      <c r="O206" s="306">
        <f t="shared" si="51"/>
        <v>200</v>
      </c>
      <c r="P206" s="472">
        <v>1</v>
      </c>
      <c r="Q206" s="472">
        <v>1</v>
      </c>
      <c r="R206" s="300">
        <f t="shared" si="52"/>
        <v>7.2454657861553384</v>
      </c>
      <c r="S206" s="300">
        <f t="shared" si="53"/>
        <v>2.1854529952805506</v>
      </c>
      <c r="T206" s="300">
        <f t="shared" si="54"/>
        <v>0</v>
      </c>
      <c r="U206" s="307">
        <f t="shared" si="55"/>
        <v>0.37638783304703055</v>
      </c>
      <c r="V206" s="307">
        <f t="shared" si="56"/>
        <v>0.11353002572885977</v>
      </c>
      <c r="W206" s="307">
        <f t="shared" si="57"/>
        <v>0</v>
      </c>
      <c r="X206" s="308" t="str">
        <f t="shared" si="58"/>
        <v>V</v>
      </c>
      <c r="Y206" s="309"/>
      <c r="Z206" s="310">
        <f>(R206+S206+T206)*'1.0-Contractblad'!$L$37</f>
        <v>286.39505732739849</v>
      </c>
      <c r="AA206" s="310">
        <f ca="1">VLOOKUP(E206,'1.2-Jaarprijzen'!$B$51:$Q$88,16,FALSE)*K206</f>
        <v>0</v>
      </c>
      <c r="AC206" s="226">
        <f t="shared" si="48"/>
        <v>3850</v>
      </c>
      <c r="AD206" s="226" t="str">
        <f t="shared" si="49"/>
        <v>3200-200</v>
      </c>
    </row>
    <row r="207" spans="2:30" ht="12.5">
      <c r="B207" s="336"/>
      <c r="C207" s="337"/>
      <c r="D207" s="302">
        <f>VLOOKUP(E207,'1.2-Jaarprijzen'!B:G,6,FALSE)</f>
        <v>1</v>
      </c>
      <c r="E207" s="522" t="s">
        <v>82</v>
      </c>
      <c r="F207" s="302" t="s">
        <v>410</v>
      </c>
      <c r="G207" s="525" t="s">
        <v>429</v>
      </c>
      <c r="H207" s="523" t="s">
        <v>207</v>
      </c>
      <c r="I207" s="303" t="str">
        <f t="shared" si="50"/>
        <v>niet van toepassing</v>
      </c>
      <c r="J207" s="302"/>
      <c r="K207" s="304"/>
      <c r="L207" s="304">
        <v>15.34</v>
      </c>
      <c r="M207" s="305" t="s">
        <v>147</v>
      </c>
      <c r="N207" s="302"/>
      <c r="O207" s="306">
        <f t="shared" si="51"/>
        <v>0</v>
      </c>
      <c r="P207" s="472">
        <v>1</v>
      </c>
      <c r="Q207" s="472">
        <v>1</v>
      </c>
      <c r="R207" s="300">
        <f t="shared" si="52"/>
        <v>0</v>
      </c>
      <c r="S207" s="300">
        <f t="shared" si="53"/>
        <v>0</v>
      </c>
      <c r="T207" s="300">
        <f t="shared" si="54"/>
        <v>0</v>
      </c>
      <c r="U207" s="307">
        <f t="shared" si="55"/>
        <v>0</v>
      </c>
      <c r="V207" s="307">
        <f t="shared" si="56"/>
        <v>0</v>
      </c>
      <c r="W207" s="307">
        <f t="shared" si="57"/>
        <v>0</v>
      </c>
      <c r="X207" s="308">
        <f t="shared" si="58"/>
        <v>0</v>
      </c>
      <c r="Y207" s="309"/>
      <c r="Z207" s="310">
        <f>(R207+S207+T207)*'1.0-Contractblad'!$L$37</f>
        <v>0</v>
      </c>
      <c r="AA207" s="310">
        <f ca="1">VLOOKUP(E207,'1.2-Jaarprijzen'!$B$51:$Q$88,16,FALSE)*K207</f>
        <v>0</v>
      </c>
      <c r="AC207" s="226">
        <f t="shared" si="48"/>
        <v>0</v>
      </c>
      <c r="AD207" s="226" t="str">
        <f t="shared" si="49"/>
        <v>nvt-0</v>
      </c>
    </row>
    <row r="208" spans="2:30" ht="12.5">
      <c r="B208" s="336"/>
      <c r="C208" s="337"/>
      <c r="D208" s="302">
        <f>VLOOKUP(E208,'1.2-Jaarprijzen'!B:G,6,FALSE)</f>
        <v>1</v>
      </c>
      <c r="E208" s="522" t="s">
        <v>82</v>
      </c>
      <c r="F208" s="302" t="s">
        <v>410</v>
      </c>
      <c r="G208" s="525" t="s">
        <v>430</v>
      </c>
      <c r="H208" s="523" t="s">
        <v>431</v>
      </c>
      <c r="I208" s="303" t="str">
        <f t="shared" si="50"/>
        <v>niet van toepassing</v>
      </c>
      <c r="J208" s="302"/>
      <c r="K208" s="304"/>
      <c r="L208" s="304">
        <v>16.37</v>
      </c>
      <c r="M208" s="305" t="s">
        <v>147</v>
      </c>
      <c r="N208" s="302"/>
      <c r="O208" s="306">
        <f t="shared" si="51"/>
        <v>0</v>
      </c>
      <c r="P208" s="472">
        <v>1</v>
      </c>
      <c r="Q208" s="472">
        <v>1</v>
      </c>
      <c r="R208" s="300">
        <f t="shared" si="52"/>
        <v>0</v>
      </c>
      <c r="S208" s="300">
        <f t="shared" si="53"/>
        <v>0</v>
      </c>
      <c r="T208" s="300">
        <f t="shared" si="54"/>
        <v>0</v>
      </c>
      <c r="U208" s="307">
        <f t="shared" si="55"/>
        <v>0</v>
      </c>
      <c r="V208" s="307">
        <f t="shared" si="56"/>
        <v>0</v>
      </c>
      <c r="W208" s="307">
        <f t="shared" si="57"/>
        <v>0</v>
      </c>
      <c r="X208" s="308">
        <f t="shared" si="58"/>
        <v>0</v>
      </c>
      <c r="Y208" s="309"/>
      <c r="Z208" s="310">
        <f>(R208+S208+T208)*'1.0-Contractblad'!$L$37</f>
        <v>0</v>
      </c>
      <c r="AA208" s="310">
        <f ca="1">VLOOKUP(E208,'1.2-Jaarprijzen'!$B$51:$Q$88,16,FALSE)*K208</f>
        <v>0</v>
      </c>
      <c r="AC208" s="226">
        <f t="shared" si="48"/>
        <v>0</v>
      </c>
      <c r="AD208" s="226" t="str">
        <f t="shared" si="49"/>
        <v>nvt-0</v>
      </c>
    </row>
    <row r="209" spans="2:30" ht="12.5">
      <c r="B209" s="336"/>
      <c r="C209" s="337"/>
      <c r="D209" s="302">
        <f>VLOOKUP(E209,'1.2-Jaarprijzen'!B:G,6,FALSE)</f>
        <v>1</v>
      </c>
      <c r="E209" s="522" t="s">
        <v>84</v>
      </c>
      <c r="F209" s="302" t="s">
        <v>201</v>
      </c>
      <c r="G209" s="525" t="s">
        <v>202</v>
      </c>
      <c r="H209" s="523" t="s">
        <v>203</v>
      </c>
      <c r="I209" s="303" t="str">
        <f t="shared" si="50"/>
        <v>entree, gang, hal, repro, kopieer, was/droogruimte</v>
      </c>
      <c r="J209" s="302" t="s">
        <v>221</v>
      </c>
      <c r="K209" s="304">
        <v>9.57</v>
      </c>
      <c r="L209" s="304"/>
      <c r="M209" s="305">
        <v>3200</v>
      </c>
      <c r="N209" s="302"/>
      <c r="O209" s="306">
        <f t="shared" si="51"/>
        <v>200</v>
      </c>
      <c r="P209" s="472">
        <v>1</v>
      </c>
      <c r="Q209" s="472">
        <v>1</v>
      </c>
      <c r="R209" s="300">
        <f t="shared" si="52"/>
        <v>3.6020315622600827</v>
      </c>
      <c r="S209" s="300">
        <f t="shared" si="53"/>
        <v>1.086482346225188</v>
      </c>
      <c r="T209" s="300">
        <f t="shared" si="54"/>
        <v>0</v>
      </c>
      <c r="U209" s="307">
        <f t="shared" si="55"/>
        <v>0.37638783304703055</v>
      </c>
      <c r="V209" s="307">
        <f t="shared" si="56"/>
        <v>0.11353002572885977</v>
      </c>
      <c r="W209" s="307">
        <f t="shared" si="57"/>
        <v>0</v>
      </c>
      <c r="X209" s="308" t="str">
        <f t="shared" si="58"/>
        <v>V</v>
      </c>
      <c r="Y209" s="309"/>
      <c r="Z209" s="310">
        <f>(R209+S209+T209)*'1.0-Contractblad'!$L$37</f>
        <v>142.37925707133527</v>
      </c>
      <c r="AA209" s="310">
        <f ca="1">VLOOKUP(E209,'1.2-Jaarprijzen'!$B$51:$Q$88,16,FALSE)*K209</f>
        <v>0</v>
      </c>
      <c r="AC209" s="226">
        <f t="shared" si="48"/>
        <v>1914</v>
      </c>
      <c r="AD209" s="226" t="str">
        <f t="shared" si="49"/>
        <v>3200-200</v>
      </c>
    </row>
    <row r="210" spans="2:30" ht="12.5">
      <c r="B210" s="336"/>
      <c r="C210" s="337"/>
      <c r="D210" s="302">
        <f>VLOOKUP(E210,'1.2-Jaarprijzen'!B:G,6,FALSE)</f>
        <v>1</v>
      </c>
      <c r="E210" s="522" t="s">
        <v>84</v>
      </c>
      <c r="F210" s="302" t="s">
        <v>201</v>
      </c>
      <c r="G210" s="525" t="s">
        <v>206</v>
      </c>
      <c r="H210" s="523" t="s">
        <v>432</v>
      </c>
      <c r="I210" s="303" t="str">
        <f t="shared" si="50"/>
        <v>niet van toepassing</v>
      </c>
      <c r="J210" s="302" t="s">
        <v>221</v>
      </c>
      <c r="K210" s="304"/>
      <c r="L210" s="304">
        <v>1.28</v>
      </c>
      <c r="M210" s="305" t="s">
        <v>147</v>
      </c>
      <c r="N210" s="302"/>
      <c r="O210" s="306">
        <f t="shared" si="51"/>
        <v>0</v>
      </c>
      <c r="P210" s="472">
        <v>1</v>
      </c>
      <c r="Q210" s="472">
        <v>1</v>
      </c>
      <c r="R210" s="300">
        <f t="shared" si="52"/>
        <v>0</v>
      </c>
      <c r="S210" s="300">
        <f t="shared" si="53"/>
        <v>0</v>
      </c>
      <c r="T210" s="300">
        <f t="shared" si="54"/>
        <v>0</v>
      </c>
      <c r="U210" s="307">
        <f t="shared" si="55"/>
        <v>0</v>
      </c>
      <c r="V210" s="307">
        <f t="shared" si="56"/>
        <v>0</v>
      </c>
      <c r="W210" s="307">
        <f t="shared" si="57"/>
        <v>0</v>
      </c>
      <c r="X210" s="308">
        <f t="shared" si="58"/>
        <v>0</v>
      </c>
      <c r="Y210" s="309"/>
      <c r="Z210" s="310">
        <f>(R210+S210+T210)*'1.0-Contractblad'!$L$37</f>
        <v>0</v>
      </c>
      <c r="AA210" s="310">
        <f ca="1">VLOOKUP(E210,'1.2-Jaarprijzen'!$B$51:$Q$88,16,FALSE)*K210</f>
        <v>0</v>
      </c>
      <c r="AC210" s="226">
        <f t="shared" si="48"/>
        <v>0</v>
      </c>
      <c r="AD210" s="226" t="str">
        <f t="shared" si="49"/>
        <v>nvt-0</v>
      </c>
    </row>
    <row r="211" spans="2:30" ht="12.5">
      <c r="B211" s="336"/>
      <c r="C211" s="337"/>
      <c r="D211" s="302">
        <f>VLOOKUP(E211,'1.2-Jaarprijzen'!B:G,6,FALSE)</f>
        <v>1</v>
      </c>
      <c r="E211" s="522" t="s">
        <v>84</v>
      </c>
      <c r="F211" s="302" t="s">
        <v>201</v>
      </c>
      <c r="G211" s="525" t="s">
        <v>433</v>
      </c>
      <c r="H211" s="523" t="s">
        <v>432</v>
      </c>
      <c r="I211" s="303" t="str">
        <f t="shared" si="50"/>
        <v>niet van toepassing</v>
      </c>
      <c r="J211" s="302" t="s">
        <v>221</v>
      </c>
      <c r="K211" s="304"/>
      <c r="L211" s="304">
        <v>1.08</v>
      </c>
      <c r="M211" s="305" t="s">
        <v>147</v>
      </c>
      <c r="N211" s="302"/>
      <c r="O211" s="306">
        <f t="shared" si="51"/>
        <v>0</v>
      </c>
      <c r="P211" s="472">
        <v>1</v>
      </c>
      <c r="Q211" s="472">
        <v>1</v>
      </c>
      <c r="R211" s="300">
        <f t="shared" si="52"/>
        <v>0</v>
      </c>
      <c r="S211" s="300">
        <f t="shared" si="53"/>
        <v>0</v>
      </c>
      <c r="T211" s="300">
        <f t="shared" si="54"/>
        <v>0</v>
      </c>
      <c r="U211" s="307">
        <f t="shared" si="55"/>
        <v>0</v>
      </c>
      <c r="V211" s="307">
        <f t="shared" si="56"/>
        <v>0</v>
      </c>
      <c r="W211" s="307">
        <f t="shared" si="57"/>
        <v>0</v>
      </c>
      <c r="X211" s="308">
        <f t="shared" si="58"/>
        <v>0</v>
      </c>
      <c r="Y211" s="309"/>
      <c r="Z211" s="310">
        <f>(R211+S211+T211)*'1.0-Contractblad'!$L$37</f>
        <v>0</v>
      </c>
      <c r="AA211" s="310">
        <f ca="1">VLOOKUP(E211,'1.2-Jaarprijzen'!$B$51:$Q$88,16,FALSE)*K211</f>
        <v>0</v>
      </c>
      <c r="AC211" s="226">
        <f t="shared" si="48"/>
        <v>0</v>
      </c>
      <c r="AD211" s="226" t="str">
        <f t="shared" si="49"/>
        <v>nvt-0</v>
      </c>
    </row>
    <row r="212" spans="2:30" ht="12.5">
      <c r="B212" s="336"/>
      <c r="C212" s="337"/>
      <c r="D212" s="302">
        <f>VLOOKUP(E212,'1.2-Jaarprijzen'!B:G,6,FALSE)</f>
        <v>1</v>
      </c>
      <c r="E212" s="522" t="s">
        <v>84</v>
      </c>
      <c r="F212" s="302" t="s">
        <v>201</v>
      </c>
      <c r="G212" s="525" t="s">
        <v>209</v>
      </c>
      <c r="H212" s="523" t="s">
        <v>280</v>
      </c>
      <c r="I212" s="303" t="str">
        <f t="shared" ref="I212:I275" si="59">IF($M212="",0,VLOOKUP($M212,Kengetal,4,FALSE))</f>
        <v>entree, gang, hal, repro, kopieer, was/droogruimte</v>
      </c>
      <c r="J212" s="302" t="s">
        <v>221</v>
      </c>
      <c r="K212" s="304">
        <v>36.15</v>
      </c>
      <c r="L212" s="304"/>
      <c r="M212" s="305">
        <v>3200</v>
      </c>
      <c r="N212" s="302"/>
      <c r="O212" s="306">
        <f t="shared" ref="O212:O230" si="60">VLOOKUP(M212,Kengetal,3,FALSE)+VLOOKUP(N212,Kengetal,3,FALSE)</f>
        <v>200</v>
      </c>
      <c r="P212" s="472">
        <v>1</v>
      </c>
      <c r="Q212" s="472">
        <v>1</v>
      </c>
      <c r="R212" s="300">
        <f t="shared" ref="R212:R221" si="61">U212*K212*P212</f>
        <v>13.606420164650153</v>
      </c>
      <c r="S212" s="300">
        <f t="shared" ref="S212:S221" si="62">V212*K212*Q212</f>
        <v>4.1041104300982809</v>
      </c>
      <c r="T212" s="300">
        <f t="shared" ref="T212:T221" si="63">W212*K212*P212</f>
        <v>0</v>
      </c>
      <c r="U212" s="307">
        <f t="shared" si="55"/>
        <v>0.37638783304703055</v>
      </c>
      <c r="V212" s="307">
        <f t="shared" si="56"/>
        <v>0.11353002572885977</v>
      </c>
      <c r="W212" s="307">
        <f t="shared" si="57"/>
        <v>0</v>
      </c>
      <c r="X212" s="308" t="str">
        <f t="shared" ref="X212:X221" si="64">IF(M212="","",VLOOKUP(M212,Kengetal,13,FALSE))</f>
        <v>V</v>
      </c>
      <c r="Y212" s="309"/>
      <c r="Z212" s="310">
        <f>(R212+S212+T212)*'1.0-Contractblad'!$L$37</f>
        <v>537.8276011628808</v>
      </c>
      <c r="AA212" s="310">
        <f ca="1">VLOOKUP(E212,'1.2-Jaarprijzen'!$B$51:$Q$88,16,FALSE)*K212</f>
        <v>0</v>
      </c>
      <c r="AC212" s="226">
        <f t="shared" si="48"/>
        <v>7230</v>
      </c>
      <c r="AD212" s="226" t="str">
        <f t="shared" si="49"/>
        <v>3200-200</v>
      </c>
    </row>
    <row r="213" spans="2:30" ht="12.5">
      <c r="B213" s="336"/>
      <c r="C213" s="337"/>
      <c r="D213" s="302">
        <f>VLOOKUP(E213,'1.2-Jaarprijzen'!B:G,6,FALSE)</f>
        <v>1</v>
      </c>
      <c r="E213" s="522" t="s">
        <v>84</v>
      </c>
      <c r="F213" s="302" t="s">
        <v>201</v>
      </c>
      <c r="G213" s="525" t="s">
        <v>216</v>
      </c>
      <c r="H213" s="523" t="s">
        <v>280</v>
      </c>
      <c r="I213" s="303" t="str">
        <f t="shared" si="59"/>
        <v>entree, gang, hal, repro, kopieer, was/droogruimte</v>
      </c>
      <c r="J213" s="302" t="s">
        <v>221</v>
      </c>
      <c r="K213" s="304">
        <v>70.709999999999994</v>
      </c>
      <c r="L213" s="304"/>
      <c r="M213" s="305">
        <v>3200</v>
      </c>
      <c r="N213" s="302"/>
      <c r="O213" s="306">
        <f t="shared" si="60"/>
        <v>200</v>
      </c>
      <c r="P213" s="472">
        <v>1</v>
      </c>
      <c r="Q213" s="472">
        <v>1</v>
      </c>
      <c r="R213" s="300">
        <f t="shared" si="61"/>
        <v>26.614383674755526</v>
      </c>
      <c r="S213" s="300">
        <f t="shared" si="62"/>
        <v>8.0277081192876736</v>
      </c>
      <c r="T213" s="300">
        <f t="shared" si="63"/>
        <v>0</v>
      </c>
      <c r="U213" s="307">
        <f t="shared" si="55"/>
        <v>0.37638783304703055</v>
      </c>
      <c r="V213" s="307">
        <f t="shared" si="56"/>
        <v>0.11353002572885977</v>
      </c>
      <c r="W213" s="307">
        <f t="shared" si="57"/>
        <v>0</v>
      </c>
      <c r="X213" s="308" t="str">
        <f t="shared" si="64"/>
        <v>V</v>
      </c>
      <c r="Y213" s="309"/>
      <c r="Z213" s="310">
        <f>(R213+S213+T213)*'1.0-Contractblad'!$L$37</f>
        <v>1051.999714473784</v>
      </c>
      <c r="AA213" s="310">
        <f ca="1">VLOOKUP(E213,'1.2-Jaarprijzen'!$B$51:$Q$88,16,FALSE)*K213</f>
        <v>0</v>
      </c>
      <c r="AC213" s="226">
        <f t="shared" si="48"/>
        <v>14141.999999999998</v>
      </c>
      <c r="AD213" s="226" t="str">
        <f t="shared" si="49"/>
        <v>3200-200</v>
      </c>
    </row>
    <row r="214" spans="2:30" ht="12.5">
      <c r="B214" s="336"/>
      <c r="C214" s="337"/>
      <c r="D214" s="302">
        <f>VLOOKUP(E214,'1.2-Jaarprijzen'!B:G,6,FALSE)</f>
        <v>1</v>
      </c>
      <c r="E214" s="522" t="s">
        <v>84</v>
      </c>
      <c r="F214" s="302" t="s">
        <v>201</v>
      </c>
      <c r="G214" s="525" t="s">
        <v>219</v>
      </c>
      <c r="H214" s="523" t="s">
        <v>280</v>
      </c>
      <c r="I214" s="303" t="str">
        <f t="shared" si="59"/>
        <v>entree, gang, hal, repro, kopieer, was/droogruimte</v>
      </c>
      <c r="J214" s="302" t="s">
        <v>221</v>
      </c>
      <c r="K214" s="304">
        <v>9.0299999999999994</v>
      </c>
      <c r="L214" s="304"/>
      <c r="M214" s="305">
        <v>3200</v>
      </c>
      <c r="N214" s="302"/>
      <c r="O214" s="306">
        <f t="shared" si="60"/>
        <v>200</v>
      </c>
      <c r="P214" s="472">
        <v>1</v>
      </c>
      <c r="Q214" s="472">
        <v>1</v>
      </c>
      <c r="R214" s="300">
        <f t="shared" si="61"/>
        <v>3.3987821324146856</v>
      </c>
      <c r="S214" s="300">
        <f t="shared" si="62"/>
        <v>1.0251761323316038</v>
      </c>
      <c r="T214" s="300">
        <f t="shared" si="63"/>
        <v>0</v>
      </c>
      <c r="U214" s="307">
        <f t="shared" si="55"/>
        <v>0.37638783304703055</v>
      </c>
      <c r="V214" s="307">
        <f t="shared" si="56"/>
        <v>0.11353002572885977</v>
      </c>
      <c r="W214" s="307">
        <f t="shared" si="57"/>
        <v>0</v>
      </c>
      <c r="X214" s="308" t="str">
        <f t="shared" si="64"/>
        <v>V</v>
      </c>
      <c r="Y214" s="309"/>
      <c r="Z214" s="310">
        <f>(R214+S214+T214)*'1.0-Contractblad'!$L$37</f>
        <v>134.3453178008524</v>
      </c>
      <c r="AA214" s="310">
        <f ca="1">VLOOKUP(E214,'1.2-Jaarprijzen'!$B$51:$Q$88,16,FALSE)*K214</f>
        <v>0</v>
      </c>
      <c r="AC214" s="226">
        <f t="shared" si="48"/>
        <v>1805.9999999999998</v>
      </c>
      <c r="AD214" s="226" t="str">
        <f t="shared" si="49"/>
        <v>3200-200</v>
      </c>
    </row>
    <row r="215" spans="2:30" ht="12.5">
      <c r="B215" s="336"/>
      <c r="C215" s="337"/>
      <c r="D215" s="302">
        <f>VLOOKUP(E215,'1.2-Jaarprijzen'!B:G,6,FALSE)</f>
        <v>1</v>
      </c>
      <c r="E215" s="522" t="s">
        <v>84</v>
      </c>
      <c r="F215" s="302" t="s">
        <v>201</v>
      </c>
      <c r="G215" s="525" t="s">
        <v>434</v>
      </c>
      <c r="H215" s="523" t="s">
        <v>319</v>
      </c>
      <c r="I215" s="303" t="str">
        <f t="shared" si="59"/>
        <v>trappenhuis</v>
      </c>
      <c r="J215" s="302" t="s">
        <v>435</v>
      </c>
      <c r="K215" s="304">
        <v>3.6</v>
      </c>
      <c r="L215" s="304"/>
      <c r="M215" s="305">
        <v>9200</v>
      </c>
      <c r="N215" s="302"/>
      <c r="O215" s="306">
        <f t="shared" si="60"/>
        <v>200</v>
      </c>
      <c r="P215" s="472">
        <v>1</v>
      </c>
      <c r="Q215" s="472">
        <v>1</v>
      </c>
      <c r="R215" s="300">
        <f t="shared" si="61"/>
        <v>2.5406178730674562</v>
      </c>
      <c r="S215" s="300">
        <f t="shared" si="62"/>
        <v>0.15832836020565308</v>
      </c>
      <c r="T215" s="300">
        <f t="shared" si="63"/>
        <v>0</v>
      </c>
      <c r="U215" s="307">
        <f t="shared" si="55"/>
        <v>0.70572718696318226</v>
      </c>
      <c r="V215" s="307">
        <f t="shared" si="56"/>
        <v>4.3980100057125854E-2</v>
      </c>
      <c r="W215" s="307">
        <f t="shared" si="57"/>
        <v>0</v>
      </c>
      <c r="X215" s="308" t="str">
        <f t="shared" si="64"/>
        <v>V</v>
      </c>
      <c r="Y215" s="309"/>
      <c r="Z215" s="310">
        <f>(R215+S215+T215)*'1.0-Contractblad'!$L$37</f>
        <v>81.960716565956034</v>
      </c>
      <c r="AA215" s="310">
        <f ca="1">VLOOKUP(E215,'1.2-Jaarprijzen'!$B$51:$Q$88,16,FALSE)*K215</f>
        <v>0</v>
      </c>
      <c r="AC215" s="226">
        <f t="shared" si="48"/>
        <v>720</v>
      </c>
      <c r="AD215" s="226" t="str">
        <f t="shared" si="49"/>
        <v>9200-200</v>
      </c>
    </row>
    <row r="216" spans="2:30" ht="12.5">
      <c r="B216" s="336"/>
      <c r="C216" s="337"/>
      <c r="D216" s="302">
        <f>VLOOKUP(E216,'1.2-Jaarprijzen'!B:G,6,FALSE)</f>
        <v>1</v>
      </c>
      <c r="E216" s="522" t="s">
        <v>84</v>
      </c>
      <c r="F216" s="302" t="s">
        <v>201</v>
      </c>
      <c r="G216" s="525" t="s">
        <v>222</v>
      </c>
      <c r="H216" s="523" t="s">
        <v>252</v>
      </c>
      <c r="I216" s="303" t="str">
        <f t="shared" si="59"/>
        <v>administratieve -, personeels- en vergaderruimte</v>
      </c>
      <c r="J216" s="302" t="s">
        <v>221</v>
      </c>
      <c r="K216" s="304">
        <v>23.56</v>
      </c>
      <c r="L216" s="304"/>
      <c r="M216" s="305">
        <v>1080</v>
      </c>
      <c r="N216" s="302"/>
      <c r="O216" s="306">
        <f t="shared" si="60"/>
        <v>80</v>
      </c>
      <c r="P216" s="472">
        <v>1</v>
      </c>
      <c r="Q216" s="472">
        <v>1</v>
      </c>
      <c r="R216" s="300">
        <f t="shared" si="61"/>
        <v>4.9294769230769235</v>
      </c>
      <c r="S216" s="300">
        <f t="shared" si="62"/>
        <v>0.86990769230769238</v>
      </c>
      <c r="T216" s="300">
        <f t="shared" si="63"/>
        <v>0</v>
      </c>
      <c r="U216" s="307">
        <f t="shared" si="55"/>
        <v>0.20923076923076925</v>
      </c>
      <c r="V216" s="307">
        <f t="shared" si="56"/>
        <v>3.6923076923076927E-2</v>
      </c>
      <c r="W216" s="307">
        <f t="shared" si="57"/>
        <v>0</v>
      </c>
      <c r="X216" s="308" t="str">
        <f t="shared" si="64"/>
        <v>V</v>
      </c>
      <c r="Y216" s="309"/>
      <c r="Z216" s="310">
        <f>(R216+S216+T216)*'1.0-Contractblad'!$L$37</f>
        <v>176.11381540641688</v>
      </c>
      <c r="AA216" s="310">
        <f ca="1">VLOOKUP(E216,'1.2-Jaarprijzen'!$B$51:$Q$88,16,FALSE)*K216</f>
        <v>0</v>
      </c>
      <c r="AC216" s="226">
        <f t="shared" si="48"/>
        <v>1884.8</v>
      </c>
      <c r="AD216" s="226" t="str">
        <f t="shared" si="49"/>
        <v>1080-80</v>
      </c>
    </row>
    <row r="217" spans="2:30" ht="12.5">
      <c r="B217" s="336"/>
      <c r="C217" s="337"/>
      <c r="D217" s="302">
        <f>VLOOKUP(E217,'1.2-Jaarprijzen'!B:G,6,FALSE)</f>
        <v>1</v>
      </c>
      <c r="E217" s="522" t="s">
        <v>84</v>
      </c>
      <c r="F217" s="302" t="s">
        <v>201</v>
      </c>
      <c r="G217" s="525" t="s">
        <v>224</v>
      </c>
      <c r="H217" s="522" t="s">
        <v>363</v>
      </c>
      <c r="I217" s="303" t="str">
        <f t="shared" si="59"/>
        <v>administratieve -, personeels- en vergaderruimte</v>
      </c>
      <c r="J217" s="302" t="s">
        <v>221</v>
      </c>
      <c r="K217" s="304">
        <v>89.31</v>
      </c>
      <c r="L217" s="304"/>
      <c r="M217" s="305">
        <v>1200</v>
      </c>
      <c r="N217" s="302"/>
      <c r="O217" s="306">
        <f t="shared" si="60"/>
        <v>200</v>
      </c>
      <c r="P217" s="472">
        <v>1</v>
      </c>
      <c r="Q217" s="472">
        <v>1</v>
      </c>
      <c r="R217" s="300">
        <f t="shared" si="61"/>
        <v>37.488148148148149</v>
      </c>
      <c r="S217" s="300">
        <f t="shared" si="62"/>
        <v>6.615555555555555</v>
      </c>
      <c r="T217" s="300">
        <f t="shared" si="63"/>
        <v>0</v>
      </c>
      <c r="U217" s="307">
        <f t="shared" si="55"/>
        <v>0.41975308641975306</v>
      </c>
      <c r="V217" s="307">
        <f t="shared" si="56"/>
        <v>7.407407407407407E-2</v>
      </c>
      <c r="W217" s="307">
        <f t="shared" si="57"/>
        <v>0</v>
      </c>
      <c r="X217" s="308" t="str">
        <f t="shared" si="64"/>
        <v>V</v>
      </c>
      <c r="Y217" s="309"/>
      <c r="Z217" s="310">
        <f>(R217+S217+T217)*'1.0-Contractblad'!$L$37</f>
        <v>1339.3268506814238</v>
      </c>
      <c r="AA217" s="310">
        <f ca="1">VLOOKUP(E217,'1.2-Jaarprijzen'!$B$51:$Q$88,16,FALSE)*K217</f>
        <v>0</v>
      </c>
      <c r="AC217" s="226">
        <f t="shared" si="48"/>
        <v>17862</v>
      </c>
      <c r="AD217" s="226" t="str">
        <f t="shared" si="49"/>
        <v>1200-200</v>
      </c>
    </row>
    <row r="218" spans="2:30" ht="12.5">
      <c r="B218" s="336"/>
      <c r="C218" s="337"/>
      <c r="D218" s="302">
        <f>VLOOKUP(E218,'1.2-Jaarprijzen'!B:G,6,FALSE)</f>
        <v>1</v>
      </c>
      <c r="E218" s="522" t="s">
        <v>84</v>
      </c>
      <c r="F218" s="302" t="s">
        <v>201</v>
      </c>
      <c r="G218" s="525" t="s">
        <v>226</v>
      </c>
      <c r="H218" s="523" t="s">
        <v>136</v>
      </c>
      <c r="I218" s="303" t="str">
        <f t="shared" si="59"/>
        <v>lift</v>
      </c>
      <c r="J218" s="302" t="s">
        <v>221</v>
      </c>
      <c r="K218" s="304">
        <v>2.86</v>
      </c>
      <c r="L218" s="304"/>
      <c r="M218" s="305">
        <v>10040</v>
      </c>
      <c r="N218" s="302"/>
      <c r="O218" s="306">
        <f t="shared" si="60"/>
        <v>40</v>
      </c>
      <c r="P218" s="472">
        <v>1</v>
      </c>
      <c r="Q218" s="472">
        <v>1</v>
      </c>
      <c r="R218" s="300">
        <f t="shared" si="61"/>
        <v>0.67279325157156711</v>
      </c>
      <c r="S218" s="300">
        <f t="shared" si="62"/>
        <v>1.3163346226400225</v>
      </c>
      <c r="T218" s="300">
        <f t="shared" si="63"/>
        <v>0</v>
      </c>
      <c r="U218" s="307">
        <f t="shared" si="55"/>
        <v>0.23524239565439412</v>
      </c>
      <c r="V218" s="307">
        <f t="shared" si="56"/>
        <v>0.460256861062945</v>
      </c>
      <c r="W218" s="307">
        <f t="shared" si="57"/>
        <v>0</v>
      </c>
      <c r="X218" s="308" t="str">
        <f t="shared" si="64"/>
        <v>V</v>
      </c>
      <c r="Y218" s="309"/>
      <c r="Z218" s="310">
        <f>(R218+S218+T218)*'1.0-Contractblad'!$L$37</f>
        <v>60.405184772423567</v>
      </c>
      <c r="AA218" s="310">
        <f ca="1">VLOOKUP(E218,'1.2-Jaarprijzen'!$B$51:$Q$88,16,FALSE)*K218</f>
        <v>0</v>
      </c>
      <c r="AC218" s="226">
        <f t="shared" si="48"/>
        <v>114.39999999999999</v>
      </c>
      <c r="AD218" s="226" t="str">
        <f t="shared" si="49"/>
        <v>10040-40</v>
      </c>
    </row>
    <row r="219" spans="2:30" ht="12.5">
      <c r="B219" s="336"/>
      <c r="C219" s="337"/>
      <c r="D219" s="302">
        <f>VLOOKUP(E219,'1.2-Jaarprijzen'!B:G,6,FALSE)</f>
        <v>1</v>
      </c>
      <c r="E219" s="522" t="s">
        <v>84</v>
      </c>
      <c r="F219" s="302" t="s">
        <v>201</v>
      </c>
      <c r="G219" s="525" t="s">
        <v>227</v>
      </c>
      <c r="H219" s="523" t="s">
        <v>252</v>
      </c>
      <c r="I219" s="303" t="str">
        <f t="shared" si="59"/>
        <v>administratieve -, personeels- en vergaderruimte</v>
      </c>
      <c r="J219" s="302" t="s">
        <v>221</v>
      </c>
      <c r="K219" s="304">
        <v>21.42</v>
      </c>
      <c r="L219" s="304"/>
      <c r="M219" s="305">
        <v>1080</v>
      </c>
      <c r="N219" s="302"/>
      <c r="O219" s="306">
        <f t="shared" si="60"/>
        <v>80</v>
      </c>
      <c r="P219" s="472">
        <v>1</v>
      </c>
      <c r="Q219" s="472">
        <v>1</v>
      </c>
      <c r="R219" s="300">
        <f t="shared" si="61"/>
        <v>4.4817230769230774</v>
      </c>
      <c r="S219" s="300">
        <f t="shared" si="62"/>
        <v>0.79089230769230778</v>
      </c>
      <c r="T219" s="300">
        <f t="shared" si="63"/>
        <v>0</v>
      </c>
      <c r="U219" s="307">
        <f t="shared" si="55"/>
        <v>0.20923076923076925</v>
      </c>
      <c r="V219" s="307">
        <f t="shared" si="56"/>
        <v>3.6923076923076927E-2</v>
      </c>
      <c r="W219" s="307">
        <f t="shared" si="57"/>
        <v>0</v>
      </c>
      <c r="X219" s="308" t="str">
        <f t="shared" si="64"/>
        <v>V</v>
      </c>
      <c r="Y219" s="309"/>
      <c r="Z219" s="310">
        <f>(R219+S219+T219)*'1.0-Contractblad'!$L$37</f>
        <v>160.11705967765064</v>
      </c>
      <c r="AA219" s="310">
        <f ca="1">VLOOKUP(E219,'1.2-Jaarprijzen'!$B$51:$Q$88,16,FALSE)*K219</f>
        <v>0</v>
      </c>
      <c r="AC219" s="226">
        <f t="shared" si="48"/>
        <v>1713.6000000000001</v>
      </c>
      <c r="AD219" s="226" t="str">
        <f t="shared" si="49"/>
        <v>1080-80</v>
      </c>
    </row>
    <row r="220" spans="2:30" ht="12.5">
      <c r="B220" s="336"/>
      <c r="C220" s="337"/>
      <c r="D220" s="302">
        <f>VLOOKUP(E220,'1.2-Jaarprijzen'!B:G,6,FALSE)</f>
        <v>1</v>
      </c>
      <c r="E220" s="522" t="s">
        <v>84</v>
      </c>
      <c r="F220" s="302" t="s">
        <v>201</v>
      </c>
      <c r="G220" s="525" t="s">
        <v>230</v>
      </c>
      <c r="H220" s="523" t="s">
        <v>252</v>
      </c>
      <c r="I220" s="303" t="str">
        <f t="shared" si="59"/>
        <v>administratieve -, personeels- en vergaderruimte</v>
      </c>
      <c r="J220" s="302" t="s">
        <v>221</v>
      </c>
      <c r="K220" s="304">
        <v>20.41</v>
      </c>
      <c r="L220" s="304"/>
      <c r="M220" s="305">
        <v>1080</v>
      </c>
      <c r="N220" s="302"/>
      <c r="O220" s="306">
        <f t="shared" si="60"/>
        <v>80</v>
      </c>
      <c r="P220" s="472">
        <v>1</v>
      </c>
      <c r="Q220" s="472">
        <v>1</v>
      </c>
      <c r="R220" s="300">
        <f t="shared" si="61"/>
        <v>4.2704000000000004</v>
      </c>
      <c r="S220" s="300">
        <f t="shared" si="62"/>
        <v>0.75360000000000005</v>
      </c>
      <c r="T220" s="300">
        <f t="shared" si="63"/>
        <v>0</v>
      </c>
      <c r="U220" s="307">
        <f t="shared" si="55"/>
        <v>0.20923076923076925</v>
      </c>
      <c r="V220" s="307">
        <f t="shared" si="56"/>
        <v>3.6923076923076927E-2</v>
      </c>
      <c r="W220" s="307">
        <f t="shared" si="57"/>
        <v>0</v>
      </c>
      <c r="X220" s="308" t="str">
        <f t="shared" si="64"/>
        <v>V</v>
      </c>
      <c r="Y220" s="309"/>
      <c r="Z220" s="310">
        <f>(R220+S220+T220)*'1.0-Contractblad'!$L$37</f>
        <v>152.56718898323297</v>
      </c>
      <c r="AA220" s="310">
        <f ca="1">VLOOKUP(E220,'1.2-Jaarprijzen'!$B$51:$Q$88,16,FALSE)*K220</f>
        <v>0</v>
      </c>
      <c r="AC220" s="226">
        <f t="shared" si="48"/>
        <v>1632.8</v>
      </c>
      <c r="AD220" s="226" t="str">
        <f t="shared" si="49"/>
        <v>1080-80</v>
      </c>
    </row>
    <row r="221" spans="2:30" ht="16" customHeight="1">
      <c r="B221" s="336"/>
      <c r="C221" s="337"/>
      <c r="D221" s="302">
        <f>VLOOKUP(E221,'1.2-Jaarprijzen'!B:G,6,FALSE)</f>
        <v>1</v>
      </c>
      <c r="E221" s="522" t="s">
        <v>84</v>
      </c>
      <c r="F221" s="302" t="s">
        <v>201</v>
      </c>
      <c r="G221" s="525" t="s">
        <v>232</v>
      </c>
      <c r="H221" s="523" t="s">
        <v>252</v>
      </c>
      <c r="I221" s="303" t="str">
        <f t="shared" si="59"/>
        <v>administratieve -, personeels- en vergaderruimte</v>
      </c>
      <c r="J221" s="302" t="s">
        <v>221</v>
      </c>
      <c r="K221" s="304">
        <v>19.149999999999999</v>
      </c>
      <c r="L221" s="304"/>
      <c r="M221" s="305">
        <v>1080</v>
      </c>
      <c r="N221" s="302"/>
      <c r="O221" s="306">
        <f t="shared" si="60"/>
        <v>80</v>
      </c>
      <c r="P221" s="472">
        <v>1</v>
      </c>
      <c r="Q221" s="472">
        <v>1</v>
      </c>
      <c r="R221" s="300">
        <f t="shared" si="61"/>
        <v>4.0067692307692306</v>
      </c>
      <c r="S221" s="300">
        <f t="shared" si="62"/>
        <v>0.70707692307692305</v>
      </c>
      <c r="T221" s="300">
        <f t="shared" si="63"/>
        <v>0</v>
      </c>
      <c r="U221" s="307">
        <f t="shared" si="55"/>
        <v>0.20923076923076925</v>
      </c>
      <c r="V221" s="307">
        <f t="shared" si="56"/>
        <v>3.6923076923076927E-2</v>
      </c>
      <c r="W221" s="307">
        <f t="shared" si="57"/>
        <v>0</v>
      </c>
      <c r="X221" s="308" t="str">
        <f t="shared" si="64"/>
        <v>V</v>
      </c>
      <c r="Y221" s="309"/>
      <c r="Z221" s="310">
        <f>(R221+S221+T221)*'1.0-Contractblad'!$L$37</f>
        <v>143.14853841395939</v>
      </c>
      <c r="AA221" s="310">
        <f ca="1">VLOOKUP(E221,'1.2-Jaarprijzen'!$B$51:$Q$88,16,FALSE)*K221</f>
        <v>0</v>
      </c>
      <c r="AC221" s="226">
        <f t="shared" si="48"/>
        <v>1532</v>
      </c>
      <c r="AD221" s="226" t="str">
        <f t="shared" si="49"/>
        <v>1080-80</v>
      </c>
    </row>
    <row r="222" spans="2:30" ht="15" customHeight="1">
      <c r="B222" s="336"/>
      <c r="C222" s="337"/>
      <c r="D222" s="302">
        <f>VLOOKUP(E222,'1.2-Jaarprijzen'!B:G,6,FALSE)</f>
        <v>1</v>
      </c>
      <c r="E222" s="522" t="s">
        <v>84</v>
      </c>
      <c r="F222" s="302" t="s">
        <v>201</v>
      </c>
      <c r="G222" s="525" t="s">
        <v>233</v>
      </c>
      <c r="H222" s="523" t="s">
        <v>220</v>
      </c>
      <c r="I222" s="303" t="str">
        <f t="shared" si="59"/>
        <v>sanitaire ruimte (toilet-/doucheruimte)</v>
      </c>
      <c r="J222" s="302" t="s">
        <v>221</v>
      </c>
      <c r="K222" s="304">
        <v>7.99</v>
      </c>
      <c r="L222" s="304"/>
      <c r="M222" s="305">
        <v>4200</v>
      </c>
      <c r="N222" s="302"/>
      <c r="O222" s="306">
        <f t="shared" si="60"/>
        <v>200</v>
      </c>
      <c r="P222" s="472">
        <v>1</v>
      </c>
      <c r="Q222" s="472">
        <v>1</v>
      </c>
      <c r="R222" s="300">
        <f t="shared" ref="R222:R230" si="65">U222*K222*P222</f>
        <v>21.414157338798674</v>
      </c>
      <c r="S222" s="300">
        <f t="shared" ref="S222:S230" si="66">V222*K222*Q222</f>
        <v>3.7789689421409429</v>
      </c>
      <c r="T222" s="300">
        <f t="shared" ref="T222:T230" si="67">W222*K222*P222</f>
        <v>0</v>
      </c>
      <c r="U222" s="307">
        <f t="shared" ref="U222:U285" si="68">IF($M222=0,0,VLOOKUP($M222,Kengetal,6,FALSE))</f>
        <v>2.6801198171212359</v>
      </c>
      <c r="V222" s="307">
        <f t="shared" ref="V222:V285" si="69">IF($M222=0,0,VLOOKUP($M222,Kengetal,7,FALSE))</f>
        <v>0.4729623206684534</v>
      </c>
      <c r="W222" s="307">
        <f t="shared" ref="W222:W285" si="70">IF($N222=0,0,VLOOKUP($N222,Kengetal,6,FALSE))</f>
        <v>0</v>
      </c>
      <c r="X222" s="308" t="str">
        <f t="shared" ref="X222:X230" si="71">IF(M222="","",VLOOKUP(M222,Kengetal,13,FALSE))</f>
        <v>S</v>
      </c>
      <c r="Y222" s="309"/>
      <c r="Z222" s="310">
        <f>(R222+S222+T222)*'1.0-Contractblad'!$L$37</f>
        <v>765.05661990098861</v>
      </c>
      <c r="AA222" s="310">
        <f ca="1">VLOOKUP(E222,'1.2-Jaarprijzen'!$B$51:$Q$88,16,FALSE)*K222</f>
        <v>0</v>
      </c>
      <c r="AC222" s="226">
        <f t="shared" si="48"/>
        <v>1598</v>
      </c>
      <c r="AD222" s="226" t="str">
        <f t="shared" si="49"/>
        <v>4200-200</v>
      </c>
    </row>
    <row r="223" spans="2:30" ht="12.5">
      <c r="B223" s="336"/>
      <c r="C223" s="337"/>
      <c r="D223" s="302">
        <f>VLOOKUP(E223,'1.2-Jaarprijzen'!B:G,6,FALSE)</f>
        <v>1</v>
      </c>
      <c r="E223" s="522" t="s">
        <v>84</v>
      </c>
      <c r="F223" s="302" t="s">
        <v>201</v>
      </c>
      <c r="G223" s="525" t="s">
        <v>178</v>
      </c>
      <c r="H223" s="523" t="s">
        <v>220</v>
      </c>
      <c r="I223" s="303" t="str">
        <f t="shared" si="59"/>
        <v>sanitaire ruimte (toilet-/doucheruimte)</v>
      </c>
      <c r="J223" s="302" t="s">
        <v>221</v>
      </c>
      <c r="K223" s="304">
        <v>5.12</v>
      </c>
      <c r="L223" s="304"/>
      <c r="M223" s="305">
        <v>4200</v>
      </c>
      <c r="N223" s="302"/>
      <c r="O223" s="306">
        <f t="shared" si="60"/>
        <v>200</v>
      </c>
      <c r="P223" s="472">
        <v>1</v>
      </c>
      <c r="Q223" s="472">
        <v>1</v>
      </c>
      <c r="R223" s="300">
        <f t="shared" si="65"/>
        <v>13.722213463660728</v>
      </c>
      <c r="S223" s="300">
        <f t="shared" si="66"/>
        <v>2.4215670818224813</v>
      </c>
      <c r="T223" s="300">
        <f t="shared" si="67"/>
        <v>0</v>
      </c>
      <c r="U223" s="307">
        <f t="shared" si="68"/>
        <v>2.6801198171212359</v>
      </c>
      <c r="V223" s="307">
        <f t="shared" si="69"/>
        <v>0.4729623206684534</v>
      </c>
      <c r="W223" s="307">
        <f t="shared" si="70"/>
        <v>0</v>
      </c>
      <c r="X223" s="308" t="str">
        <f t="shared" si="71"/>
        <v>S</v>
      </c>
      <c r="Y223" s="309"/>
      <c r="Z223" s="310">
        <f>(R223+S223+T223)*'1.0-Contractblad'!$L$37</f>
        <v>490.24904804669114</v>
      </c>
      <c r="AA223" s="310">
        <f ca="1">VLOOKUP(E223,'1.2-Jaarprijzen'!$B$51:$Q$88,16,FALSE)*K223</f>
        <v>0</v>
      </c>
      <c r="AC223" s="226">
        <f t="shared" si="48"/>
        <v>1024</v>
      </c>
      <c r="AD223" s="226" t="str">
        <f t="shared" si="49"/>
        <v>4200-200</v>
      </c>
    </row>
    <row r="224" spans="2:30" ht="12.5">
      <c r="B224" s="336"/>
      <c r="C224" s="337"/>
      <c r="D224" s="302">
        <f>VLOOKUP(E224,'1.2-Jaarprijzen'!B:G,6,FALSE)</f>
        <v>1</v>
      </c>
      <c r="E224" s="522" t="s">
        <v>84</v>
      </c>
      <c r="F224" s="302" t="s">
        <v>201</v>
      </c>
      <c r="G224" s="525" t="s">
        <v>236</v>
      </c>
      <c r="H224" s="523" t="s">
        <v>207</v>
      </c>
      <c r="I224" s="303" t="str">
        <f t="shared" si="59"/>
        <v>niet van toepassing</v>
      </c>
      <c r="J224" s="302" t="s">
        <v>221</v>
      </c>
      <c r="K224" s="304"/>
      <c r="L224" s="304">
        <v>4.18</v>
      </c>
      <c r="M224" s="305" t="s">
        <v>147</v>
      </c>
      <c r="N224" s="302"/>
      <c r="O224" s="306">
        <f t="shared" si="60"/>
        <v>0</v>
      </c>
      <c r="P224" s="472">
        <v>1</v>
      </c>
      <c r="Q224" s="472">
        <v>1</v>
      </c>
      <c r="R224" s="300">
        <f t="shared" si="65"/>
        <v>0</v>
      </c>
      <c r="S224" s="300">
        <f t="shared" si="66"/>
        <v>0</v>
      </c>
      <c r="T224" s="300">
        <f t="shared" si="67"/>
        <v>0</v>
      </c>
      <c r="U224" s="307">
        <f t="shared" si="68"/>
        <v>0</v>
      </c>
      <c r="V224" s="307">
        <f t="shared" si="69"/>
        <v>0</v>
      </c>
      <c r="W224" s="307">
        <f t="shared" si="70"/>
        <v>0</v>
      </c>
      <c r="X224" s="308">
        <f t="shared" si="71"/>
        <v>0</v>
      </c>
      <c r="Y224" s="309"/>
      <c r="Z224" s="310">
        <f>(R224+S224+T224)*'1.0-Contractblad'!$L$37</f>
        <v>0</v>
      </c>
      <c r="AA224" s="310">
        <f ca="1">VLOOKUP(E224,'1.2-Jaarprijzen'!$B$51:$Q$88,16,FALSE)*K224</f>
        <v>0</v>
      </c>
      <c r="AC224" s="226">
        <f t="shared" si="48"/>
        <v>0</v>
      </c>
      <c r="AD224" s="226" t="str">
        <f t="shared" si="49"/>
        <v>nvt-0</v>
      </c>
    </row>
    <row r="225" spans="2:30" ht="12.5">
      <c r="B225" s="336"/>
      <c r="C225" s="337"/>
      <c r="D225" s="302">
        <f>VLOOKUP(E225,'1.2-Jaarprijzen'!B:G,6,FALSE)</f>
        <v>1</v>
      </c>
      <c r="E225" s="522" t="s">
        <v>84</v>
      </c>
      <c r="F225" s="302" t="s">
        <v>201</v>
      </c>
      <c r="G225" s="525" t="s">
        <v>237</v>
      </c>
      <c r="H225" s="523" t="s">
        <v>207</v>
      </c>
      <c r="I225" s="303" t="str">
        <f t="shared" si="59"/>
        <v>niet van toepassing</v>
      </c>
      <c r="J225" s="302" t="s">
        <v>221</v>
      </c>
      <c r="K225" s="304"/>
      <c r="L225" s="304">
        <v>2.41</v>
      </c>
      <c r="M225" s="305" t="s">
        <v>147</v>
      </c>
      <c r="N225" s="302"/>
      <c r="O225" s="306">
        <f t="shared" si="60"/>
        <v>0</v>
      </c>
      <c r="P225" s="472">
        <v>1</v>
      </c>
      <c r="Q225" s="472">
        <v>1</v>
      </c>
      <c r="R225" s="300">
        <f t="shared" si="65"/>
        <v>0</v>
      </c>
      <c r="S225" s="300">
        <f t="shared" si="66"/>
        <v>0</v>
      </c>
      <c r="T225" s="300">
        <f t="shared" si="67"/>
        <v>0</v>
      </c>
      <c r="U225" s="307">
        <f t="shared" si="68"/>
        <v>0</v>
      </c>
      <c r="V225" s="307">
        <f t="shared" si="69"/>
        <v>0</v>
      </c>
      <c r="W225" s="307">
        <f t="shared" si="70"/>
        <v>0</v>
      </c>
      <c r="X225" s="308">
        <f t="shared" si="71"/>
        <v>0</v>
      </c>
      <c r="Y225" s="309"/>
      <c r="Z225" s="310">
        <f>(R225+S225+T225)*'1.0-Contractblad'!$L$37</f>
        <v>0</v>
      </c>
      <c r="AA225" s="310">
        <f ca="1">VLOOKUP(E225,'1.2-Jaarprijzen'!$B$51:$Q$88,16,FALSE)*K225</f>
        <v>0</v>
      </c>
      <c r="AC225" s="226">
        <f t="shared" si="48"/>
        <v>0</v>
      </c>
      <c r="AD225" s="226" t="str">
        <f t="shared" si="49"/>
        <v>nvt-0</v>
      </c>
    </row>
    <row r="226" spans="2:30" ht="12.5">
      <c r="B226" s="336"/>
      <c r="C226" s="337"/>
      <c r="D226" s="302">
        <f>VLOOKUP(E226,'1.2-Jaarprijzen'!B:G,6,FALSE)</f>
        <v>1</v>
      </c>
      <c r="E226" s="522" t="s">
        <v>84</v>
      </c>
      <c r="F226" s="302" t="s">
        <v>201</v>
      </c>
      <c r="G226" s="525" t="s">
        <v>239</v>
      </c>
      <c r="H226" s="523" t="s">
        <v>280</v>
      </c>
      <c r="I226" s="303" t="str">
        <f t="shared" si="59"/>
        <v>entree, gang, hal, repro, kopieer, was/droogruimte</v>
      </c>
      <c r="J226" s="302" t="s">
        <v>221</v>
      </c>
      <c r="K226" s="304">
        <v>17.760000000000002</v>
      </c>
      <c r="L226" s="304"/>
      <c r="M226" s="305">
        <v>3200</v>
      </c>
      <c r="N226" s="302"/>
      <c r="O226" s="306">
        <f t="shared" si="60"/>
        <v>200</v>
      </c>
      <c r="P226" s="472">
        <v>1</v>
      </c>
      <c r="Q226" s="472">
        <v>1</v>
      </c>
      <c r="R226" s="300">
        <f t="shared" si="65"/>
        <v>6.6846479149152636</v>
      </c>
      <c r="S226" s="300">
        <f t="shared" si="66"/>
        <v>2.0162932569445497</v>
      </c>
      <c r="T226" s="300">
        <f t="shared" si="67"/>
        <v>0</v>
      </c>
      <c r="U226" s="307">
        <f t="shared" si="68"/>
        <v>0.37638783304703055</v>
      </c>
      <c r="V226" s="307">
        <f t="shared" si="69"/>
        <v>0.11353002572885977</v>
      </c>
      <c r="W226" s="307">
        <f t="shared" si="70"/>
        <v>0</v>
      </c>
      <c r="X226" s="308" t="str">
        <f t="shared" si="71"/>
        <v>V</v>
      </c>
      <c r="Y226" s="309"/>
      <c r="Z226" s="310">
        <f>(R226+S226+T226)*'1.0-Contractblad'!$L$37</f>
        <v>264.22733600699212</v>
      </c>
      <c r="AA226" s="310">
        <f ca="1">VLOOKUP(E226,'1.2-Jaarprijzen'!$B$51:$Q$88,16,FALSE)*K226</f>
        <v>0</v>
      </c>
      <c r="AC226" s="226">
        <f t="shared" si="48"/>
        <v>3552.0000000000005</v>
      </c>
      <c r="AD226" s="226" t="str">
        <f t="shared" si="49"/>
        <v>3200-200</v>
      </c>
    </row>
    <row r="227" spans="2:30" ht="12.5">
      <c r="B227" s="336"/>
      <c r="C227" s="337"/>
      <c r="D227" s="302">
        <f>VLOOKUP(E227,'1.2-Jaarprijzen'!B:G,6,FALSE)</f>
        <v>1</v>
      </c>
      <c r="E227" s="522" t="s">
        <v>84</v>
      </c>
      <c r="F227" s="302" t="s">
        <v>201</v>
      </c>
      <c r="G227" s="525" t="s">
        <v>436</v>
      </c>
      <c r="H227" s="523" t="s">
        <v>319</v>
      </c>
      <c r="I227" s="303" t="str">
        <f t="shared" si="59"/>
        <v>trappenhuis</v>
      </c>
      <c r="J227" s="302" t="s">
        <v>435</v>
      </c>
      <c r="K227" s="304">
        <v>3.6</v>
      </c>
      <c r="L227" s="304"/>
      <c r="M227" s="305">
        <v>9200</v>
      </c>
      <c r="N227" s="302"/>
      <c r="O227" s="306">
        <f t="shared" si="60"/>
        <v>200</v>
      </c>
      <c r="P227" s="472">
        <v>1</v>
      </c>
      <c r="Q227" s="472">
        <v>1</v>
      </c>
      <c r="R227" s="300">
        <f t="shared" si="65"/>
        <v>2.5406178730674562</v>
      </c>
      <c r="S227" s="300">
        <f t="shared" si="66"/>
        <v>0.15832836020565308</v>
      </c>
      <c r="T227" s="300">
        <f t="shared" si="67"/>
        <v>0</v>
      </c>
      <c r="U227" s="307">
        <f t="shared" si="68"/>
        <v>0.70572718696318226</v>
      </c>
      <c r="V227" s="307">
        <f t="shared" si="69"/>
        <v>4.3980100057125854E-2</v>
      </c>
      <c r="W227" s="307">
        <f t="shared" si="70"/>
        <v>0</v>
      </c>
      <c r="X227" s="308" t="str">
        <f t="shared" si="71"/>
        <v>V</v>
      </c>
      <c r="Y227" s="309"/>
      <c r="Z227" s="310">
        <f>(R227+S227+T227)*'1.0-Contractblad'!$L$37</f>
        <v>81.960716565956034</v>
      </c>
      <c r="AA227" s="310">
        <f ca="1">VLOOKUP(E227,'1.2-Jaarprijzen'!$B$51:$Q$88,16,FALSE)*K227</f>
        <v>0</v>
      </c>
      <c r="AC227" s="226">
        <f t="shared" si="48"/>
        <v>720</v>
      </c>
      <c r="AD227" s="226" t="str">
        <f t="shared" si="49"/>
        <v>9200-200</v>
      </c>
    </row>
    <row r="228" spans="2:30" ht="12.5">
      <c r="B228" s="336"/>
      <c r="C228" s="337"/>
      <c r="D228" s="302">
        <f>VLOOKUP(E228,'1.2-Jaarprijzen'!B:G,6,FALSE)</f>
        <v>1</v>
      </c>
      <c r="E228" s="522" t="s">
        <v>84</v>
      </c>
      <c r="F228" s="302" t="s">
        <v>201</v>
      </c>
      <c r="G228" s="525" t="s">
        <v>241</v>
      </c>
      <c r="H228" s="523" t="s">
        <v>207</v>
      </c>
      <c r="I228" s="303" t="str">
        <f t="shared" si="59"/>
        <v>niet van toepassing</v>
      </c>
      <c r="J228" s="302" t="s">
        <v>221</v>
      </c>
      <c r="K228" s="304"/>
      <c r="L228" s="304">
        <v>7.08</v>
      </c>
      <c r="M228" s="305" t="s">
        <v>147</v>
      </c>
      <c r="N228" s="302"/>
      <c r="O228" s="306">
        <f t="shared" si="60"/>
        <v>0</v>
      </c>
      <c r="P228" s="472">
        <v>1</v>
      </c>
      <c r="Q228" s="472">
        <v>1</v>
      </c>
      <c r="R228" s="300">
        <f t="shared" si="65"/>
        <v>0</v>
      </c>
      <c r="S228" s="300">
        <f t="shared" si="66"/>
        <v>0</v>
      </c>
      <c r="T228" s="300">
        <f t="shared" si="67"/>
        <v>0</v>
      </c>
      <c r="U228" s="307">
        <f t="shared" si="68"/>
        <v>0</v>
      </c>
      <c r="V228" s="307">
        <f t="shared" si="69"/>
        <v>0</v>
      </c>
      <c r="W228" s="307">
        <f t="shared" si="70"/>
        <v>0</v>
      </c>
      <c r="X228" s="308">
        <f t="shared" si="71"/>
        <v>0</v>
      </c>
      <c r="Y228" s="309"/>
      <c r="Z228" s="310">
        <f>(R228+S228+T228)*'1.0-Contractblad'!$L$37</f>
        <v>0</v>
      </c>
      <c r="AA228" s="310">
        <f ca="1">VLOOKUP(E228,'1.2-Jaarprijzen'!$B$51:$Q$88,16,FALSE)*K228</f>
        <v>0</v>
      </c>
      <c r="AC228" s="226">
        <f t="shared" si="48"/>
        <v>0</v>
      </c>
      <c r="AD228" s="226" t="str">
        <f t="shared" si="49"/>
        <v>nvt-0</v>
      </c>
    </row>
    <row r="229" spans="2:30" ht="12.5">
      <c r="B229" s="336"/>
      <c r="C229" s="337"/>
      <c r="D229" s="302">
        <f>VLOOKUP(E229,'1.2-Jaarprijzen'!B:G,6,FALSE)</f>
        <v>1</v>
      </c>
      <c r="E229" s="522" t="s">
        <v>84</v>
      </c>
      <c r="F229" s="302" t="s">
        <v>201</v>
      </c>
      <c r="G229" s="525" t="s">
        <v>242</v>
      </c>
      <c r="H229" s="523" t="s">
        <v>207</v>
      </c>
      <c r="I229" s="303" t="str">
        <f t="shared" si="59"/>
        <v>niet van toepassing</v>
      </c>
      <c r="J229" s="302" t="s">
        <v>221</v>
      </c>
      <c r="K229" s="304"/>
      <c r="L229" s="304">
        <v>5.68</v>
      </c>
      <c r="M229" s="305" t="s">
        <v>147</v>
      </c>
      <c r="N229" s="302"/>
      <c r="O229" s="306">
        <f t="shared" si="60"/>
        <v>0</v>
      </c>
      <c r="P229" s="472">
        <v>1</v>
      </c>
      <c r="Q229" s="472">
        <v>1</v>
      </c>
      <c r="R229" s="300">
        <f t="shared" si="65"/>
        <v>0</v>
      </c>
      <c r="S229" s="300">
        <f t="shared" si="66"/>
        <v>0</v>
      </c>
      <c r="T229" s="300">
        <f t="shared" si="67"/>
        <v>0</v>
      </c>
      <c r="U229" s="307">
        <f t="shared" si="68"/>
        <v>0</v>
      </c>
      <c r="V229" s="307">
        <f t="shared" si="69"/>
        <v>0</v>
      </c>
      <c r="W229" s="307">
        <f t="shared" si="70"/>
        <v>0</v>
      </c>
      <c r="X229" s="308">
        <f t="shared" si="71"/>
        <v>0</v>
      </c>
      <c r="Y229" s="309"/>
      <c r="Z229" s="310">
        <f>(R229+S229+T229)*'1.0-Contractblad'!$L$37</f>
        <v>0</v>
      </c>
      <c r="AA229" s="310">
        <f ca="1">VLOOKUP(E229,'1.2-Jaarprijzen'!$B$51:$Q$88,16,FALSE)*K229</f>
        <v>0</v>
      </c>
      <c r="AC229" s="226">
        <f t="shared" si="48"/>
        <v>0</v>
      </c>
      <c r="AD229" s="226" t="str">
        <f t="shared" si="49"/>
        <v>nvt-0</v>
      </c>
    </row>
    <row r="230" spans="2:30" ht="12.5">
      <c r="B230" s="336"/>
      <c r="C230" s="337"/>
      <c r="D230" s="302">
        <f>VLOOKUP(E230,'1.2-Jaarprijzen'!B:G,6,FALSE)</f>
        <v>1</v>
      </c>
      <c r="E230" s="522" t="s">
        <v>84</v>
      </c>
      <c r="F230" s="302" t="s">
        <v>201</v>
      </c>
      <c r="G230" s="525" t="s">
        <v>244</v>
      </c>
      <c r="H230" s="523" t="s">
        <v>207</v>
      </c>
      <c r="I230" s="303" t="str">
        <f t="shared" si="59"/>
        <v>niet van toepassing</v>
      </c>
      <c r="J230" s="302" t="s">
        <v>221</v>
      </c>
      <c r="K230" s="304"/>
      <c r="L230" s="304">
        <v>6.22</v>
      </c>
      <c r="M230" s="305" t="s">
        <v>147</v>
      </c>
      <c r="N230" s="302"/>
      <c r="O230" s="306">
        <f t="shared" si="60"/>
        <v>0</v>
      </c>
      <c r="P230" s="472">
        <v>1</v>
      </c>
      <c r="Q230" s="472">
        <v>1</v>
      </c>
      <c r="R230" s="300">
        <f t="shared" si="65"/>
        <v>0</v>
      </c>
      <c r="S230" s="300">
        <f t="shared" si="66"/>
        <v>0</v>
      </c>
      <c r="T230" s="300">
        <f t="shared" si="67"/>
        <v>0</v>
      </c>
      <c r="U230" s="307">
        <f t="shared" si="68"/>
        <v>0</v>
      </c>
      <c r="V230" s="307">
        <f t="shared" si="69"/>
        <v>0</v>
      </c>
      <c r="W230" s="307">
        <f t="shared" si="70"/>
        <v>0</v>
      </c>
      <c r="X230" s="308">
        <f t="shared" si="71"/>
        <v>0</v>
      </c>
      <c r="Y230" s="309"/>
      <c r="Z230" s="310">
        <f>(R230+S230+T230)*'1.0-Contractblad'!$L$37</f>
        <v>0</v>
      </c>
      <c r="AA230" s="310">
        <f ca="1">VLOOKUP(E230,'1.2-Jaarprijzen'!$B$51:$Q$88,16,FALSE)*K230</f>
        <v>0</v>
      </c>
      <c r="AC230" s="226">
        <f t="shared" si="48"/>
        <v>0</v>
      </c>
      <c r="AD230" s="226" t="str">
        <f t="shared" si="49"/>
        <v>nvt-0</v>
      </c>
    </row>
    <row r="231" spans="2:30" ht="12.5">
      <c r="B231" s="336"/>
      <c r="C231" s="337"/>
      <c r="D231" s="302">
        <f>VLOOKUP(E231,'1.2-Jaarprijzen'!B:G,6,FALSE)</f>
        <v>1</v>
      </c>
      <c r="E231" s="522" t="s">
        <v>84</v>
      </c>
      <c r="F231" s="302" t="s">
        <v>201</v>
      </c>
      <c r="G231" s="525" t="s">
        <v>246</v>
      </c>
      <c r="H231" s="523" t="s">
        <v>437</v>
      </c>
      <c r="I231" s="303" t="str">
        <f t="shared" si="59"/>
        <v>leslokaal/leerplein</v>
      </c>
      <c r="J231" s="302" t="s">
        <v>221</v>
      </c>
      <c r="K231" s="304">
        <v>59.68</v>
      </c>
      <c r="L231" s="304"/>
      <c r="M231" s="305">
        <v>7200</v>
      </c>
      <c r="N231" s="302"/>
      <c r="O231" s="306">
        <f t="shared" ref="O231:O294" si="72">VLOOKUP(M231,Kengetal,3,FALSE)+VLOOKUP(N231,Kengetal,3,FALSE)</f>
        <v>200</v>
      </c>
      <c r="P231" s="472">
        <v>1</v>
      </c>
      <c r="Q231" s="472">
        <v>1</v>
      </c>
      <c r="R231" s="300">
        <f t="shared" ref="R231:R294" si="73">U231*K231*P231</f>
        <v>31.21723076923077</v>
      </c>
      <c r="S231" s="300">
        <f t="shared" ref="S231:S294" si="74">V231*K231*Q231</f>
        <v>5.508923076923077</v>
      </c>
      <c r="T231" s="300">
        <f t="shared" ref="T231:T294" si="75">W231*K231*P231</f>
        <v>0</v>
      </c>
      <c r="U231" s="307">
        <f t="shared" si="68"/>
        <v>0.52307692307692311</v>
      </c>
      <c r="V231" s="307">
        <f t="shared" si="69"/>
        <v>9.2307692307692313E-2</v>
      </c>
      <c r="W231" s="307">
        <f t="shared" si="70"/>
        <v>0</v>
      </c>
      <c r="X231" s="308" t="str">
        <f t="shared" ref="X231:X294" si="76">IF(M231="","",VLOOKUP(M231,Kengetal,13,FALSE))</f>
        <v>L</v>
      </c>
      <c r="Y231" s="309"/>
      <c r="Z231" s="310">
        <f>(R231+S231+T231)*'1.0-Contractblad'!$L$37</f>
        <v>1115.2878293139813</v>
      </c>
      <c r="AA231" s="310">
        <f ca="1">VLOOKUP(E231,'1.2-Jaarprijzen'!$B$51:$Q$88,16,FALSE)*K231</f>
        <v>0</v>
      </c>
      <c r="AC231" s="226">
        <f t="shared" si="48"/>
        <v>11936</v>
      </c>
      <c r="AD231" s="226" t="str">
        <f t="shared" si="49"/>
        <v>7200-200</v>
      </c>
    </row>
    <row r="232" spans="2:30" ht="12.5">
      <c r="B232" s="336"/>
      <c r="C232" s="337"/>
      <c r="D232" s="302">
        <f>VLOOKUP(E232,'1.2-Jaarprijzen'!B:G,6,FALSE)</f>
        <v>1</v>
      </c>
      <c r="E232" s="522" t="s">
        <v>84</v>
      </c>
      <c r="F232" s="302" t="s">
        <v>201</v>
      </c>
      <c r="G232" s="525" t="s">
        <v>248</v>
      </c>
      <c r="H232" s="523" t="s">
        <v>437</v>
      </c>
      <c r="I232" s="303" t="str">
        <f t="shared" si="59"/>
        <v>leslokaal/leerplein</v>
      </c>
      <c r="J232" s="302" t="s">
        <v>221</v>
      </c>
      <c r="K232" s="304">
        <v>59.68</v>
      </c>
      <c r="L232" s="304"/>
      <c r="M232" s="305">
        <v>7200</v>
      </c>
      <c r="N232" s="302"/>
      <c r="O232" s="306">
        <f t="shared" si="72"/>
        <v>200</v>
      </c>
      <c r="P232" s="472">
        <v>1</v>
      </c>
      <c r="Q232" s="472">
        <v>1</v>
      </c>
      <c r="R232" s="300">
        <f t="shared" si="73"/>
        <v>31.21723076923077</v>
      </c>
      <c r="S232" s="300">
        <f t="shared" si="74"/>
        <v>5.508923076923077</v>
      </c>
      <c r="T232" s="300">
        <f t="shared" si="75"/>
        <v>0</v>
      </c>
      <c r="U232" s="307">
        <f t="shared" si="68"/>
        <v>0.52307692307692311</v>
      </c>
      <c r="V232" s="307">
        <f t="shared" si="69"/>
        <v>9.2307692307692313E-2</v>
      </c>
      <c r="W232" s="307">
        <f t="shared" si="70"/>
        <v>0</v>
      </c>
      <c r="X232" s="308" t="str">
        <f t="shared" si="76"/>
        <v>L</v>
      </c>
      <c r="Y232" s="309"/>
      <c r="Z232" s="310">
        <f>(R232+S232+T232)*'1.0-Contractblad'!$L$37</f>
        <v>1115.2878293139813</v>
      </c>
      <c r="AA232" s="310">
        <f ca="1">VLOOKUP(E232,'1.2-Jaarprijzen'!$B$51:$Q$88,16,FALSE)*K232</f>
        <v>0</v>
      </c>
      <c r="AC232" s="226">
        <f t="shared" si="48"/>
        <v>11936</v>
      </c>
      <c r="AD232" s="226" t="str">
        <f t="shared" si="49"/>
        <v>7200-200</v>
      </c>
    </row>
    <row r="233" spans="2:30" ht="12.5">
      <c r="B233" s="336"/>
      <c r="C233" s="337"/>
      <c r="D233" s="302">
        <f>VLOOKUP(E233,'1.2-Jaarprijzen'!B:G,6,FALSE)</f>
        <v>1</v>
      </c>
      <c r="E233" s="522" t="s">
        <v>84</v>
      </c>
      <c r="F233" s="302" t="s">
        <v>201</v>
      </c>
      <c r="G233" s="525" t="s">
        <v>250</v>
      </c>
      <c r="H233" s="523" t="s">
        <v>207</v>
      </c>
      <c r="I233" s="303" t="str">
        <f t="shared" si="59"/>
        <v>niet van toepassing</v>
      </c>
      <c r="J233" s="302" t="s">
        <v>221</v>
      </c>
      <c r="K233" s="304"/>
      <c r="L233" s="304">
        <v>6.46</v>
      </c>
      <c r="M233" s="305" t="s">
        <v>147</v>
      </c>
      <c r="N233" s="302"/>
      <c r="O233" s="306">
        <f t="shared" si="72"/>
        <v>0</v>
      </c>
      <c r="P233" s="472">
        <v>1</v>
      </c>
      <c r="Q233" s="472">
        <v>1</v>
      </c>
      <c r="R233" s="300">
        <f t="shared" si="73"/>
        <v>0</v>
      </c>
      <c r="S233" s="300">
        <f t="shared" si="74"/>
        <v>0</v>
      </c>
      <c r="T233" s="300">
        <f t="shared" si="75"/>
        <v>0</v>
      </c>
      <c r="U233" s="307">
        <f t="shared" si="68"/>
        <v>0</v>
      </c>
      <c r="V233" s="307">
        <f t="shared" si="69"/>
        <v>0</v>
      </c>
      <c r="W233" s="307">
        <f t="shared" si="70"/>
        <v>0</v>
      </c>
      <c r="X233" s="308">
        <f t="shared" si="76"/>
        <v>0</v>
      </c>
      <c r="Y233" s="309"/>
      <c r="Z233" s="310">
        <f>(R233+S233+T233)*'1.0-Contractblad'!$L$37</f>
        <v>0</v>
      </c>
      <c r="AA233" s="310">
        <f ca="1">VLOOKUP(E233,'1.2-Jaarprijzen'!$B$51:$Q$88,16,FALSE)*K233</f>
        <v>0</v>
      </c>
      <c r="AC233" s="226">
        <f t="shared" si="48"/>
        <v>0</v>
      </c>
      <c r="AD233" s="226" t="str">
        <f t="shared" si="49"/>
        <v>nvt-0</v>
      </c>
    </row>
    <row r="234" spans="2:30" ht="12.5">
      <c r="B234" s="336"/>
      <c r="C234" s="337"/>
      <c r="D234" s="302">
        <f>VLOOKUP(E234,'1.2-Jaarprijzen'!B:G,6,FALSE)</f>
        <v>1</v>
      </c>
      <c r="E234" s="522" t="s">
        <v>84</v>
      </c>
      <c r="F234" s="302" t="s">
        <v>201</v>
      </c>
      <c r="G234" s="525" t="s">
        <v>251</v>
      </c>
      <c r="H234" s="523" t="s">
        <v>207</v>
      </c>
      <c r="I234" s="303" t="str">
        <f t="shared" si="59"/>
        <v>niet van toepassing</v>
      </c>
      <c r="J234" s="302" t="s">
        <v>221</v>
      </c>
      <c r="K234" s="304"/>
      <c r="L234" s="304">
        <v>5.14</v>
      </c>
      <c r="M234" s="305" t="s">
        <v>147</v>
      </c>
      <c r="N234" s="302"/>
      <c r="O234" s="306">
        <f t="shared" si="72"/>
        <v>0</v>
      </c>
      <c r="P234" s="472">
        <v>1</v>
      </c>
      <c r="Q234" s="472">
        <v>1</v>
      </c>
      <c r="R234" s="300">
        <f t="shared" si="73"/>
        <v>0</v>
      </c>
      <c r="S234" s="300">
        <f t="shared" si="74"/>
        <v>0</v>
      </c>
      <c r="T234" s="300">
        <f t="shared" si="75"/>
        <v>0</v>
      </c>
      <c r="U234" s="307">
        <f t="shared" si="68"/>
        <v>0</v>
      </c>
      <c r="V234" s="307">
        <f t="shared" si="69"/>
        <v>0</v>
      </c>
      <c r="W234" s="307">
        <f t="shared" si="70"/>
        <v>0</v>
      </c>
      <c r="X234" s="308">
        <f t="shared" si="76"/>
        <v>0</v>
      </c>
      <c r="Y234" s="309"/>
      <c r="Z234" s="310">
        <f>(R234+S234+T234)*'1.0-Contractblad'!$L$37</f>
        <v>0</v>
      </c>
      <c r="AA234" s="310">
        <f ca="1">VLOOKUP(E234,'1.2-Jaarprijzen'!$B$51:$Q$88,16,FALSE)*K234</f>
        <v>0</v>
      </c>
      <c r="AC234" s="226">
        <f t="shared" ref="AC234:AC297" si="77">K234*O234</f>
        <v>0</v>
      </c>
      <c r="AD234" s="226" t="str">
        <f t="shared" ref="AD234:AD297" si="78">CONCATENATE(M234,"-",O234)</f>
        <v>nvt-0</v>
      </c>
    </row>
    <row r="235" spans="2:30" ht="12.5">
      <c r="B235" s="336"/>
      <c r="C235" s="337"/>
      <c r="D235" s="302">
        <f>VLOOKUP(E235,'1.2-Jaarprijzen'!B:G,6,FALSE)</f>
        <v>1</v>
      </c>
      <c r="E235" s="522" t="s">
        <v>84</v>
      </c>
      <c r="F235" s="302" t="s">
        <v>201</v>
      </c>
      <c r="G235" s="525" t="s">
        <v>254</v>
      </c>
      <c r="H235" s="523" t="s">
        <v>207</v>
      </c>
      <c r="I235" s="303" t="str">
        <f t="shared" si="59"/>
        <v>niet van toepassing</v>
      </c>
      <c r="J235" s="302" t="s">
        <v>221</v>
      </c>
      <c r="K235" s="304"/>
      <c r="L235" s="304">
        <v>6.45</v>
      </c>
      <c r="M235" s="305" t="s">
        <v>147</v>
      </c>
      <c r="N235" s="302"/>
      <c r="O235" s="306">
        <f t="shared" si="72"/>
        <v>0</v>
      </c>
      <c r="P235" s="472">
        <v>1</v>
      </c>
      <c r="Q235" s="472">
        <v>1</v>
      </c>
      <c r="R235" s="300">
        <f t="shared" si="73"/>
        <v>0</v>
      </c>
      <c r="S235" s="300">
        <f t="shared" si="74"/>
        <v>0</v>
      </c>
      <c r="T235" s="300">
        <f t="shared" si="75"/>
        <v>0</v>
      </c>
      <c r="U235" s="307">
        <f t="shared" si="68"/>
        <v>0</v>
      </c>
      <c r="V235" s="307">
        <f t="shared" si="69"/>
        <v>0</v>
      </c>
      <c r="W235" s="307">
        <f t="shared" si="70"/>
        <v>0</v>
      </c>
      <c r="X235" s="308">
        <f t="shared" si="76"/>
        <v>0</v>
      </c>
      <c r="Y235" s="309"/>
      <c r="Z235" s="310">
        <f>(R235+S235+T235)*'1.0-Contractblad'!$L$37</f>
        <v>0</v>
      </c>
      <c r="AA235" s="310">
        <f ca="1">VLOOKUP(E235,'1.2-Jaarprijzen'!$B$51:$Q$88,16,FALSE)*K235</f>
        <v>0</v>
      </c>
      <c r="AC235" s="226">
        <f t="shared" si="77"/>
        <v>0</v>
      </c>
      <c r="AD235" s="226" t="str">
        <f t="shared" si="78"/>
        <v>nvt-0</v>
      </c>
    </row>
    <row r="236" spans="2:30" ht="12.5">
      <c r="B236" s="336"/>
      <c r="C236" s="337"/>
      <c r="D236" s="302">
        <f>VLOOKUP(E236,'1.2-Jaarprijzen'!B:G,6,FALSE)</f>
        <v>1</v>
      </c>
      <c r="E236" s="522" t="s">
        <v>84</v>
      </c>
      <c r="F236" s="302" t="s">
        <v>201</v>
      </c>
      <c r="G236" s="525" t="s">
        <v>255</v>
      </c>
      <c r="H236" s="523" t="s">
        <v>207</v>
      </c>
      <c r="I236" s="303" t="str">
        <f t="shared" si="59"/>
        <v>niet van toepassing</v>
      </c>
      <c r="J236" s="302" t="s">
        <v>221</v>
      </c>
      <c r="K236" s="304"/>
      <c r="L236" s="304">
        <v>18.77</v>
      </c>
      <c r="M236" s="305" t="s">
        <v>147</v>
      </c>
      <c r="N236" s="302"/>
      <c r="O236" s="306">
        <f t="shared" si="72"/>
        <v>0</v>
      </c>
      <c r="P236" s="472">
        <v>1</v>
      </c>
      <c r="Q236" s="472">
        <v>1</v>
      </c>
      <c r="R236" s="300">
        <f t="shared" si="73"/>
        <v>0</v>
      </c>
      <c r="S236" s="300">
        <f t="shared" si="74"/>
        <v>0</v>
      </c>
      <c r="T236" s="300">
        <f t="shared" si="75"/>
        <v>0</v>
      </c>
      <c r="U236" s="307">
        <f t="shared" si="68"/>
        <v>0</v>
      </c>
      <c r="V236" s="307">
        <f t="shared" si="69"/>
        <v>0</v>
      </c>
      <c r="W236" s="307">
        <f t="shared" si="70"/>
        <v>0</v>
      </c>
      <c r="X236" s="308">
        <f t="shared" si="76"/>
        <v>0</v>
      </c>
      <c r="Y236" s="309"/>
      <c r="Z236" s="310">
        <f>(R236+S236+T236)*'1.0-Contractblad'!$L$37</f>
        <v>0</v>
      </c>
      <c r="AA236" s="310">
        <f ca="1">VLOOKUP(E236,'1.2-Jaarprijzen'!$B$51:$Q$88,16,FALSE)*K236</f>
        <v>0</v>
      </c>
      <c r="AC236" s="226">
        <f t="shared" si="77"/>
        <v>0</v>
      </c>
      <c r="AD236" s="226" t="str">
        <f t="shared" si="78"/>
        <v>nvt-0</v>
      </c>
    </row>
    <row r="237" spans="2:30" ht="12.5">
      <c r="B237" s="336"/>
      <c r="C237" s="337"/>
      <c r="D237" s="302">
        <f>VLOOKUP(E237,'1.2-Jaarprijzen'!B:G,6,FALSE)</f>
        <v>1</v>
      </c>
      <c r="E237" s="522" t="s">
        <v>84</v>
      </c>
      <c r="F237" s="532" t="s">
        <v>201</v>
      </c>
      <c r="G237" s="534" t="s">
        <v>260</v>
      </c>
      <c r="H237" s="535" t="s">
        <v>220</v>
      </c>
      <c r="I237" s="303" t="str">
        <f t="shared" si="59"/>
        <v>sanitaire ruimte (toilet-/doucheruimte)</v>
      </c>
      <c r="J237" s="302" t="s">
        <v>221</v>
      </c>
      <c r="K237" s="304">
        <v>2.52</v>
      </c>
      <c r="L237" s="304"/>
      <c r="M237" s="305">
        <v>4260</v>
      </c>
      <c r="N237" s="302"/>
      <c r="O237" s="306">
        <f t="shared" si="72"/>
        <v>260</v>
      </c>
      <c r="P237" s="472">
        <v>1</v>
      </c>
      <c r="Q237" s="472">
        <v>1</v>
      </c>
      <c r="R237" s="300">
        <f t="shared" si="73"/>
        <v>5.8312159709618872</v>
      </c>
      <c r="S237" s="300">
        <f t="shared" si="74"/>
        <v>1.029038112522686</v>
      </c>
      <c r="T237" s="300">
        <f t="shared" si="75"/>
        <v>0</v>
      </c>
      <c r="U237" s="307">
        <f t="shared" si="68"/>
        <v>2.3139745916515424</v>
      </c>
      <c r="V237" s="307">
        <f t="shared" si="69"/>
        <v>0.4083484573502722</v>
      </c>
      <c r="W237" s="307">
        <f t="shared" si="70"/>
        <v>0</v>
      </c>
      <c r="X237" s="308" t="str">
        <f t="shared" si="76"/>
        <v>S</v>
      </c>
      <c r="Y237" s="309" t="s">
        <v>438</v>
      </c>
      <c r="Z237" s="310">
        <f>(R237+S237+T237)*'1.0-Contractblad'!$L$37</f>
        <v>208.32995247372341</v>
      </c>
      <c r="AA237" s="310">
        <f ca="1">VLOOKUP(E237,'1.2-Jaarprijzen'!$B$51:$Q$88,16,FALSE)*K237</f>
        <v>0</v>
      </c>
      <c r="AC237" s="226">
        <f t="shared" si="77"/>
        <v>655.20000000000005</v>
      </c>
      <c r="AD237" s="226" t="str">
        <f t="shared" si="78"/>
        <v>4260-260</v>
      </c>
    </row>
    <row r="238" spans="2:30" ht="12.5">
      <c r="B238" s="336"/>
      <c r="C238" s="337"/>
      <c r="D238" s="302">
        <f>VLOOKUP(E238,'1.2-Jaarprijzen'!B:G,6,FALSE)</f>
        <v>1</v>
      </c>
      <c r="E238" s="522" t="s">
        <v>84</v>
      </c>
      <c r="F238" s="532" t="s">
        <v>201</v>
      </c>
      <c r="G238" s="534" t="s">
        <v>330</v>
      </c>
      <c r="H238" s="535" t="s">
        <v>277</v>
      </c>
      <c r="I238" s="303" t="str">
        <f t="shared" si="59"/>
        <v>entree, gang, hal, repro, kopieer, was/droogruimte</v>
      </c>
      <c r="J238" s="302" t="s">
        <v>221</v>
      </c>
      <c r="K238" s="304">
        <v>57.65</v>
      </c>
      <c r="L238" s="304"/>
      <c r="M238" s="305">
        <v>3260</v>
      </c>
      <c r="N238" s="302"/>
      <c r="O238" s="306">
        <f t="shared" si="72"/>
        <v>260</v>
      </c>
      <c r="P238" s="472">
        <v>1</v>
      </c>
      <c r="Q238" s="472">
        <v>1</v>
      </c>
      <c r="R238" s="300">
        <f t="shared" si="73"/>
        <v>27.665917183330674</v>
      </c>
      <c r="S238" s="300">
        <f t="shared" si="74"/>
        <v>6.5450059832687657</v>
      </c>
      <c r="T238" s="300">
        <f t="shared" si="75"/>
        <v>0</v>
      </c>
      <c r="U238" s="307">
        <f t="shared" si="68"/>
        <v>0.47989448713496397</v>
      </c>
      <c r="V238" s="307">
        <f t="shared" si="69"/>
        <v>0.11353002572885977</v>
      </c>
      <c r="W238" s="307">
        <f t="shared" si="70"/>
        <v>0</v>
      </c>
      <c r="X238" s="308" t="str">
        <f t="shared" si="76"/>
        <v>V</v>
      </c>
      <c r="Y238" s="309" t="s">
        <v>438</v>
      </c>
      <c r="Z238" s="310">
        <f>(R238+S238+T238)*'1.0-Contractblad'!$L$37</f>
        <v>1038.9061266021972</v>
      </c>
      <c r="AA238" s="310">
        <f ca="1">VLOOKUP(E238,'1.2-Jaarprijzen'!$B$51:$Q$88,16,FALSE)*K238</f>
        <v>0</v>
      </c>
      <c r="AC238" s="226">
        <f t="shared" si="77"/>
        <v>14989</v>
      </c>
      <c r="AD238" s="226" t="str">
        <f t="shared" si="78"/>
        <v>3260-260</v>
      </c>
    </row>
    <row r="239" spans="2:30" ht="12.5">
      <c r="B239" s="336"/>
      <c r="C239" s="337"/>
      <c r="D239" s="302">
        <f>VLOOKUP(E239,'1.2-Jaarprijzen'!B:G,6,FALSE)</f>
        <v>1</v>
      </c>
      <c r="E239" s="522" t="s">
        <v>84</v>
      </c>
      <c r="F239" s="532" t="s">
        <v>201</v>
      </c>
      <c r="G239" s="534" t="s">
        <v>263</v>
      </c>
      <c r="H239" s="535" t="s">
        <v>207</v>
      </c>
      <c r="I239" s="303" t="str">
        <f t="shared" si="59"/>
        <v>niet van toepassing</v>
      </c>
      <c r="J239" s="302" t="s">
        <v>221</v>
      </c>
      <c r="K239" s="304"/>
      <c r="L239" s="304">
        <v>1.81</v>
      </c>
      <c r="M239" s="305" t="s">
        <v>147</v>
      </c>
      <c r="N239" s="302"/>
      <c r="O239" s="306">
        <f t="shared" si="72"/>
        <v>0</v>
      </c>
      <c r="P239" s="472">
        <v>1</v>
      </c>
      <c r="Q239" s="472">
        <v>1</v>
      </c>
      <c r="R239" s="300">
        <f t="shared" si="73"/>
        <v>0</v>
      </c>
      <c r="S239" s="300">
        <f t="shared" si="74"/>
        <v>0</v>
      </c>
      <c r="T239" s="300">
        <f t="shared" si="75"/>
        <v>0</v>
      </c>
      <c r="U239" s="307">
        <f t="shared" si="68"/>
        <v>0</v>
      </c>
      <c r="V239" s="307">
        <f t="shared" si="69"/>
        <v>0</v>
      </c>
      <c r="W239" s="307">
        <f t="shared" si="70"/>
        <v>0</v>
      </c>
      <c r="X239" s="308">
        <f t="shared" si="76"/>
        <v>0</v>
      </c>
      <c r="Y239" s="309" t="s">
        <v>438</v>
      </c>
      <c r="Z239" s="310">
        <f>(R239+S239+T239)*'1.0-Contractblad'!$L$37</f>
        <v>0</v>
      </c>
      <c r="AA239" s="310">
        <f ca="1">VLOOKUP(E239,'1.2-Jaarprijzen'!$B$51:$Q$88,16,FALSE)*K239</f>
        <v>0</v>
      </c>
      <c r="AC239" s="226">
        <f t="shared" si="77"/>
        <v>0</v>
      </c>
      <c r="AD239" s="226" t="str">
        <f t="shared" si="78"/>
        <v>nvt-0</v>
      </c>
    </row>
    <row r="240" spans="2:30" ht="12.5">
      <c r="B240" s="336"/>
      <c r="C240" s="337"/>
      <c r="D240" s="302">
        <f>VLOOKUP(E240,'1.2-Jaarprijzen'!B:G,6,FALSE)</f>
        <v>1</v>
      </c>
      <c r="E240" s="522" t="s">
        <v>84</v>
      </c>
      <c r="F240" s="532" t="s">
        <v>201</v>
      </c>
      <c r="G240" s="534" t="s">
        <v>267</v>
      </c>
      <c r="H240" s="535" t="s">
        <v>207</v>
      </c>
      <c r="I240" s="303" t="str">
        <f t="shared" si="59"/>
        <v>niet van toepassing</v>
      </c>
      <c r="J240" s="302" t="s">
        <v>221</v>
      </c>
      <c r="K240" s="304"/>
      <c r="L240" s="304">
        <v>1.82</v>
      </c>
      <c r="M240" s="305" t="s">
        <v>147</v>
      </c>
      <c r="N240" s="302"/>
      <c r="O240" s="306">
        <f t="shared" si="72"/>
        <v>0</v>
      </c>
      <c r="P240" s="472">
        <v>1</v>
      </c>
      <c r="Q240" s="472">
        <v>1</v>
      </c>
      <c r="R240" s="300">
        <f t="shared" si="73"/>
        <v>0</v>
      </c>
      <c r="S240" s="300">
        <f t="shared" si="74"/>
        <v>0</v>
      </c>
      <c r="T240" s="300">
        <f t="shared" si="75"/>
        <v>0</v>
      </c>
      <c r="U240" s="307">
        <f t="shared" si="68"/>
        <v>0</v>
      </c>
      <c r="V240" s="307">
        <f t="shared" si="69"/>
        <v>0</v>
      </c>
      <c r="W240" s="307">
        <f t="shared" si="70"/>
        <v>0</v>
      </c>
      <c r="X240" s="308">
        <f t="shared" si="76"/>
        <v>0</v>
      </c>
      <c r="Y240" s="309" t="s">
        <v>438</v>
      </c>
      <c r="Z240" s="310">
        <f>(R240+S240+T240)*'1.0-Contractblad'!$L$37</f>
        <v>0</v>
      </c>
      <c r="AA240" s="310">
        <f ca="1">VLOOKUP(E240,'1.2-Jaarprijzen'!$B$51:$Q$88,16,FALSE)*K240</f>
        <v>0</v>
      </c>
      <c r="AC240" s="226">
        <f t="shared" si="77"/>
        <v>0</v>
      </c>
      <c r="AD240" s="226" t="str">
        <f t="shared" si="78"/>
        <v>nvt-0</v>
      </c>
    </row>
    <row r="241" spans="2:30" ht="12.5">
      <c r="B241" s="336"/>
      <c r="C241" s="337"/>
      <c r="D241" s="302">
        <f>VLOOKUP(E241,'1.2-Jaarprijzen'!B:G,6,FALSE)</f>
        <v>1</v>
      </c>
      <c r="E241" s="522" t="s">
        <v>84</v>
      </c>
      <c r="F241" s="532" t="s">
        <v>201</v>
      </c>
      <c r="G241" s="534" t="s">
        <v>269</v>
      </c>
      <c r="H241" s="535" t="s">
        <v>437</v>
      </c>
      <c r="I241" s="303" t="str">
        <f t="shared" si="59"/>
        <v>kinderverblijf ruimte</v>
      </c>
      <c r="J241" s="302" t="s">
        <v>221</v>
      </c>
      <c r="K241" s="304">
        <v>52.69</v>
      </c>
      <c r="L241" s="304"/>
      <c r="M241" s="305">
        <v>12260</v>
      </c>
      <c r="N241" s="302"/>
      <c r="O241" s="306">
        <f t="shared" si="72"/>
        <v>260</v>
      </c>
      <c r="P241" s="472">
        <v>1</v>
      </c>
      <c r="Q241" s="472">
        <v>1</v>
      </c>
      <c r="R241" s="300">
        <f t="shared" si="73"/>
        <v>43.258489999999995</v>
      </c>
      <c r="S241" s="300">
        <f t="shared" si="74"/>
        <v>3.8262584770397035</v>
      </c>
      <c r="T241" s="300">
        <f t="shared" si="75"/>
        <v>0</v>
      </c>
      <c r="U241" s="307">
        <f t="shared" si="68"/>
        <v>0.82099999999999995</v>
      </c>
      <c r="V241" s="307">
        <f t="shared" si="69"/>
        <v>7.2618304745486875E-2</v>
      </c>
      <c r="W241" s="307">
        <f t="shared" si="70"/>
        <v>0</v>
      </c>
      <c r="X241" s="308" t="str">
        <f t="shared" si="76"/>
        <v>L</v>
      </c>
      <c r="Y241" s="309" t="s">
        <v>438</v>
      </c>
      <c r="Z241" s="310">
        <f>(R241+S241+T241)*'1.0-Contractblad'!$L$37</f>
        <v>1429.8542434563108</v>
      </c>
      <c r="AA241" s="310">
        <f ca="1">VLOOKUP(E241,'1.2-Jaarprijzen'!$B$51:$Q$88,16,FALSE)*K241</f>
        <v>0</v>
      </c>
      <c r="AC241" s="226">
        <f t="shared" si="77"/>
        <v>13699.4</v>
      </c>
      <c r="AD241" s="226" t="str">
        <f t="shared" si="78"/>
        <v>12260-260</v>
      </c>
    </row>
    <row r="242" spans="2:30" ht="12.5">
      <c r="B242" s="336"/>
      <c r="C242" s="337"/>
      <c r="D242" s="302">
        <f>VLOOKUP(E242,'1.2-Jaarprijzen'!B:G,6,FALSE)</f>
        <v>1</v>
      </c>
      <c r="E242" s="522" t="s">
        <v>84</v>
      </c>
      <c r="F242" s="532" t="s">
        <v>201</v>
      </c>
      <c r="G242" s="534" t="s">
        <v>271</v>
      </c>
      <c r="H242" s="535" t="s">
        <v>344</v>
      </c>
      <c r="I242" s="303" t="str">
        <f t="shared" si="59"/>
        <v>pantry/keuken</v>
      </c>
      <c r="J242" s="302" t="s">
        <v>221</v>
      </c>
      <c r="K242" s="304">
        <v>5.42</v>
      </c>
      <c r="L242" s="304"/>
      <c r="M242" s="305">
        <v>5260</v>
      </c>
      <c r="N242" s="302"/>
      <c r="O242" s="306">
        <f t="shared" si="72"/>
        <v>260</v>
      </c>
      <c r="P242" s="472">
        <v>1</v>
      </c>
      <c r="Q242" s="472">
        <v>1</v>
      </c>
      <c r="R242" s="300">
        <f t="shared" si="73"/>
        <v>3.6177130249130092</v>
      </c>
      <c r="S242" s="300">
        <f t="shared" si="74"/>
        <v>0.57435675297200239</v>
      </c>
      <c r="T242" s="300">
        <f t="shared" si="75"/>
        <v>0</v>
      </c>
      <c r="U242" s="307">
        <f t="shared" si="68"/>
        <v>0.66747472784372863</v>
      </c>
      <c r="V242" s="307">
        <f t="shared" si="69"/>
        <v>0.10596988062214066</v>
      </c>
      <c r="W242" s="307">
        <f t="shared" si="70"/>
        <v>0</v>
      </c>
      <c r="X242" s="308" t="str">
        <f t="shared" si="76"/>
        <v>V</v>
      </c>
      <c r="Y242" s="309" t="s">
        <v>438</v>
      </c>
      <c r="Z242" s="310">
        <f>(R242+S242+T242)*'1.0-Contractblad'!$L$37</f>
        <v>127.30340406717394</v>
      </c>
      <c r="AA242" s="310">
        <f ca="1">VLOOKUP(E242,'1.2-Jaarprijzen'!$B$51:$Q$88,16,FALSE)*K242</f>
        <v>0</v>
      </c>
      <c r="AC242" s="226">
        <f t="shared" si="77"/>
        <v>1409.2</v>
      </c>
      <c r="AD242" s="226" t="str">
        <f t="shared" si="78"/>
        <v>5260-260</v>
      </c>
    </row>
    <row r="243" spans="2:30" ht="12.5">
      <c r="B243" s="336"/>
      <c r="C243" s="337"/>
      <c r="D243" s="302">
        <f>VLOOKUP(E243,'1.2-Jaarprijzen'!B:G,6,FALSE)</f>
        <v>1</v>
      </c>
      <c r="E243" s="522" t="s">
        <v>84</v>
      </c>
      <c r="F243" s="532" t="s">
        <v>201</v>
      </c>
      <c r="G243" s="534" t="s">
        <v>333</v>
      </c>
      <c r="H243" s="533" t="s">
        <v>439</v>
      </c>
      <c r="I243" s="303" t="str">
        <f t="shared" si="59"/>
        <v>sanitaire ruimte (toilet-/doucheruimte)</v>
      </c>
      <c r="J243" s="302" t="s">
        <v>221</v>
      </c>
      <c r="K243" s="304">
        <v>11.37</v>
      </c>
      <c r="L243" s="304"/>
      <c r="M243" s="305">
        <v>4260</v>
      </c>
      <c r="N243" s="302"/>
      <c r="O243" s="306">
        <f t="shared" si="72"/>
        <v>260</v>
      </c>
      <c r="P243" s="472">
        <v>1</v>
      </c>
      <c r="Q243" s="472">
        <v>1</v>
      </c>
      <c r="R243" s="300">
        <f t="shared" si="73"/>
        <v>26.309891107078034</v>
      </c>
      <c r="S243" s="300">
        <f t="shared" si="74"/>
        <v>4.6429219600725942</v>
      </c>
      <c r="T243" s="300">
        <f t="shared" si="75"/>
        <v>0</v>
      </c>
      <c r="U243" s="307">
        <f t="shared" si="68"/>
        <v>2.3139745916515424</v>
      </c>
      <c r="V243" s="307">
        <f t="shared" si="69"/>
        <v>0.4083484573502722</v>
      </c>
      <c r="W243" s="307">
        <f t="shared" si="70"/>
        <v>0</v>
      </c>
      <c r="X243" s="308" t="str">
        <f t="shared" si="76"/>
        <v>S</v>
      </c>
      <c r="Y243" s="309" t="s">
        <v>438</v>
      </c>
      <c r="Z243" s="310">
        <f>(R243+S243+T243)*'1.0-Contractblad'!$L$37</f>
        <v>939.96490461358519</v>
      </c>
      <c r="AA243" s="310">
        <f ca="1">VLOOKUP(E243,'1.2-Jaarprijzen'!$B$51:$Q$88,16,FALSE)*K243</f>
        <v>0</v>
      </c>
      <c r="AC243" s="226">
        <f t="shared" si="77"/>
        <v>2956.2</v>
      </c>
      <c r="AD243" s="226" t="str">
        <f t="shared" si="78"/>
        <v>4260-260</v>
      </c>
    </row>
    <row r="244" spans="2:30" ht="12.5">
      <c r="B244" s="336"/>
      <c r="C244" s="337"/>
      <c r="D244" s="302">
        <f>VLOOKUP(E244,'1.2-Jaarprijzen'!B:G,6,FALSE)</f>
        <v>1</v>
      </c>
      <c r="E244" s="522" t="s">
        <v>84</v>
      </c>
      <c r="F244" s="532" t="s">
        <v>201</v>
      </c>
      <c r="G244" s="534" t="s">
        <v>334</v>
      </c>
      <c r="H244" s="535" t="s">
        <v>440</v>
      </c>
      <c r="I244" s="303" t="str">
        <f t="shared" si="59"/>
        <v>slaapkamer</v>
      </c>
      <c r="J244" s="302" t="s">
        <v>221</v>
      </c>
      <c r="K244" s="304">
        <v>10.33</v>
      </c>
      <c r="L244" s="304"/>
      <c r="M244" s="305">
        <v>15040</v>
      </c>
      <c r="N244" s="302"/>
      <c r="O244" s="306">
        <f t="shared" si="72"/>
        <v>40</v>
      </c>
      <c r="P244" s="472">
        <v>1</v>
      </c>
      <c r="Q244" s="472">
        <v>1</v>
      </c>
      <c r="R244" s="300">
        <f t="shared" si="73"/>
        <v>2.9440499999999998</v>
      </c>
      <c r="S244" s="300">
        <f t="shared" si="74"/>
        <v>0.70243999999999995</v>
      </c>
      <c r="T244" s="300">
        <f t="shared" si="75"/>
        <v>0</v>
      </c>
      <c r="U244" s="307">
        <f t="shared" si="68"/>
        <v>0.28499999999999998</v>
      </c>
      <c r="V244" s="307">
        <f t="shared" si="69"/>
        <v>6.7999999999999991E-2</v>
      </c>
      <c r="W244" s="307">
        <f t="shared" si="70"/>
        <v>0</v>
      </c>
      <c r="X244" s="308" t="str">
        <f t="shared" si="76"/>
        <v>V</v>
      </c>
      <c r="Y244" s="309" t="s">
        <v>438</v>
      </c>
      <c r="Z244" s="310">
        <f>(R244+S244+T244)*'1.0-Contractblad'!$L$37</f>
        <v>110.7354157952765</v>
      </c>
      <c r="AA244" s="310">
        <f ca="1">VLOOKUP(E244,'1.2-Jaarprijzen'!$B$51:$Q$88,16,FALSE)*K244</f>
        <v>0</v>
      </c>
      <c r="AC244" s="226">
        <f t="shared" si="77"/>
        <v>413.2</v>
      </c>
      <c r="AD244" s="226" t="str">
        <f t="shared" si="78"/>
        <v>15040-40</v>
      </c>
    </row>
    <row r="245" spans="2:30" ht="12.5">
      <c r="B245" s="336"/>
      <c r="C245" s="337"/>
      <c r="D245" s="302">
        <f>VLOOKUP(E245,'1.2-Jaarprijzen'!B:G,6,FALSE)</f>
        <v>1</v>
      </c>
      <c r="E245" s="522" t="s">
        <v>84</v>
      </c>
      <c r="F245" s="532" t="s">
        <v>201</v>
      </c>
      <c r="G245" s="534" t="s">
        <v>336</v>
      </c>
      <c r="H245" s="535" t="s">
        <v>440</v>
      </c>
      <c r="I245" s="303" t="str">
        <f t="shared" si="59"/>
        <v>slaapkamer</v>
      </c>
      <c r="J245" s="302" t="s">
        <v>221</v>
      </c>
      <c r="K245" s="304">
        <v>8.77</v>
      </c>
      <c r="L245" s="304"/>
      <c r="M245" s="305">
        <v>15040</v>
      </c>
      <c r="N245" s="302"/>
      <c r="O245" s="306">
        <f t="shared" si="72"/>
        <v>40</v>
      </c>
      <c r="P245" s="472">
        <v>1</v>
      </c>
      <c r="Q245" s="472">
        <v>1</v>
      </c>
      <c r="R245" s="300">
        <f t="shared" si="73"/>
        <v>2.4994499999999995</v>
      </c>
      <c r="S245" s="300">
        <f t="shared" si="74"/>
        <v>0.59635999999999989</v>
      </c>
      <c r="T245" s="300">
        <f t="shared" si="75"/>
        <v>0</v>
      </c>
      <c r="U245" s="307">
        <f t="shared" si="68"/>
        <v>0.28499999999999998</v>
      </c>
      <c r="V245" s="307">
        <f t="shared" si="69"/>
        <v>6.7999999999999991E-2</v>
      </c>
      <c r="W245" s="307">
        <f t="shared" si="70"/>
        <v>0</v>
      </c>
      <c r="X245" s="308" t="str">
        <f t="shared" si="76"/>
        <v>V</v>
      </c>
      <c r="Y245" s="309" t="s">
        <v>438</v>
      </c>
      <c r="Z245" s="310">
        <f>(R245+S245+T245)*'1.0-Contractblad'!$L$37</f>
        <v>94.01254564613501</v>
      </c>
      <c r="AA245" s="310">
        <f ca="1">VLOOKUP(E245,'1.2-Jaarprijzen'!$B$51:$Q$88,16,FALSE)*K245</f>
        <v>0</v>
      </c>
      <c r="AC245" s="226">
        <f t="shared" si="77"/>
        <v>350.79999999999995</v>
      </c>
      <c r="AD245" s="226" t="str">
        <f t="shared" si="78"/>
        <v>15040-40</v>
      </c>
    </row>
    <row r="246" spans="2:30" ht="12.5">
      <c r="B246" s="336"/>
      <c r="C246" s="337"/>
      <c r="D246" s="302">
        <f>VLOOKUP(E246,'1.2-Jaarprijzen'!B:G,6,FALSE)</f>
        <v>1</v>
      </c>
      <c r="E246" s="522" t="s">
        <v>84</v>
      </c>
      <c r="F246" s="532" t="s">
        <v>201</v>
      </c>
      <c r="G246" s="534" t="s">
        <v>338</v>
      </c>
      <c r="H246" s="533" t="s">
        <v>437</v>
      </c>
      <c r="I246" s="303" t="str">
        <f t="shared" si="59"/>
        <v>kinderverblijf ruimte</v>
      </c>
      <c r="J246" s="302" t="s">
        <v>221</v>
      </c>
      <c r="K246" s="304">
        <v>60.18</v>
      </c>
      <c r="L246" s="304"/>
      <c r="M246" s="305">
        <v>12260</v>
      </c>
      <c r="N246" s="302"/>
      <c r="O246" s="306">
        <f t="shared" si="72"/>
        <v>260</v>
      </c>
      <c r="P246" s="472">
        <v>1</v>
      </c>
      <c r="Q246" s="472">
        <v>1</v>
      </c>
      <c r="R246" s="300">
        <f t="shared" si="73"/>
        <v>49.407779999999995</v>
      </c>
      <c r="S246" s="300">
        <f t="shared" si="74"/>
        <v>4.3701695795833997</v>
      </c>
      <c r="T246" s="300">
        <f t="shared" si="75"/>
        <v>0</v>
      </c>
      <c r="U246" s="307">
        <f t="shared" si="68"/>
        <v>0.82099999999999995</v>
      </c>
      <c r="V246" s="307">
        <f t="shared" si="69"/>
        <v>7.2618304745486875E-2</v>
      </c>
      <c r="W246" s="307">
        <f t="shared" si="70"/>
        <v>0</v>
      </c>
      <c r="X246" s="308" t="str">
        <f t="shared" si="76"/>
        <v>L</v>
      </c>
      <c r="Y246" s="309" t="s">
        <v>438</v>
      </c>
      <c r="Z246" s="310">
        <f>(R246+S246+T246)*'1.0-Contractblad'!$L$37</f>
        <v>1633.1111856367579</v>
      </c>
      <c r="AA246" s="310">
        <f ca="1">VLOOKUP(E246,'1.2-Jaarprijzen'!$B$51:$Q$88,16,FALSE)*K246</f>
        <v>0</v>
      </c>
      <c r="AC246" s="226">
        <f t="shared" si="77"/>
        <v>15646.8</v>
      </c>
      <c r="AD246" s="226" t="str">
        <f t="shared" si="78"/>
        <v>12260-260</v>
      </c>
    </row>
    <row r="247" spans="2:30" ht="12.5">
      <c r="B247" s="336"/>
      <c r="C247" s="337"/>
      <c r="D247" s="302">
        <f>VLOOKUP(E247,'1.2-Jaarprijzen'!B:G,6,FALSE)</f>
        <v>1</v>
      </c>
      <c r="E247" s="522" t="s">
        <v>84</v>
      </c>
      <c r="F247" s="532" t="s">
        <v>201</v>
      </c>
      <c r="G247" s="534" t="s">
        <v>339</v>
      </c>
      <c r="H247" s="535" t="s">
        <v>207</v>
      </c>
      <c r="I247" s="303" t="str">
        <f t="shared" si="59"/>
        <v>niet van toepassing</v>
      </c>
      <c r="J247" s="302" t="s">
        <v>221</v>
      </c>
      <c r="K247" s="304"/>
      <c r="L247" s="304">
        <v>3.38</v>
      </c>
      <c r="M247" s="305" t="s">
        <v>147</v>
      </c>
      <c r="N247" s="302"/>
      <c r="O247" s="306">
        <f t="shared" si="72"/>
        <v>0</v>
      </c>
      <c r="P247" s="472">
        <v>1</v>
      </c>
      <c r="Q247" s="472">
        <v>1</v>
      </c>
      <c r="R247" s="300">
        <f t="shared" si="73"/>
        <v>0</v>
      </c>
      <c r="S247" s="300">
        <f t="shared" si="74"/>
        <v>0</v>
      </c>
      <c r="T247" s="300">
        <f t="shared" si="75"/>
        <v>0</v>
      </c>
      <c r="U247" s="307">
        <f t="shared" si="68"/>
        <v>0</v>
      </c>
      <c r="V247" s="307">
        <f t="shared" si="69"/>
        <v>0</v>
      </c>
      <c r="W247" s="307">
        <f t="shared" si="70"/>
        <v>0</v>
      </c>
      <c r="X247" s="308">
        <f t="shared" si="76"/>
        <v>0</v>
      </c>
      <c r="Y247" s="309" t="s">
        <v>438</v>
      </c>
      <c r="Z247" s="310">
        <f>(R247+S247+T247)*'1.0-Contractblad'!$L$37</f>
        <v>0</v>
      </c>
      <c r="AA247" s="310">
        <f ca="1">VLOOKUP(E247,'1.2-Jaarprijzen'!$B$51:$Q$88,16,FALSE)*K247</f>
        <v>0</v>
      </c>
      <c r="AC247" s="226">
        <f t="shared" si="77"/>
        <v>0</v>
      </c>
      <c r="AD247" s="226" t="str">
        <f t="shared" si="78"/>
        <v>nvt-0</v>
      </c>
    </row>
    <row r="248" spans="2:30" ht="12.5">
      <c r="B248" s="336"/>
      <c r="C248" s="337"/>
      <c r="D248" s="302">
        <f>VLOOKUP(E248,'1.2-Jaarprijzen'!B:G,6,FALSE)</f>
        <v>1</v>
      </c>
      <c r="E248" s="522" t="s">
        <v>84</v>
      </c>
      <c r="F248" s="532" t="s">
        <v>201</v>
      </c>
      <c r="G248" s="534" t="s">
        <v>340</v>
      </c>
      <c r="H248" s="535" t="s">
        <v>207</v>
      </c>
      <c r="I248" s="303" t="str">
        <f t="shared" si="59"/>
        <v>niet van toepassing</v>
      </c>
      <c r="J248" s="302" t="s">
        <v>221</v>
      </c>
      <c r="K248" s="304"/>
      <c r="L248" s="304">
        <v>4</v>
      </c>
      <c r="M248" s="305" t="s">
        <v>147</v>
      </c>
      <c r="N248" s="302"/>
      <c r="O248" s="306">
        <f t="shared" si="72"/>
        <v>0</v>
      </c>
      <c r="P248" s="472">
        <v>1</v>
      </c>
      <c r="Q248" s="472">
        <v>1</v>
      </c>
      <c r="R248" s="300">
        <f t="shared" si="73"/>
        <v>0</v>
      </c>
      <c r="S248" s="300">
        <f t="shared" si="74"/>
        <v>0</v>
      </c>
      <c r="T248" s="300">
        <f t="shared" si="75"/>
        <v>0</v>
      </c>
      <c r="U248" s="307">
        <f t="shared" si="68"/>
        <v>0</v>
      </c>
      <c r="V248" s="307">
        <f t="shared" si="69"/>
        <v>0</v>
      </c>
      <c r="W248" s="307">
        <f t="shared" si="70"/>
        <v>0</v>
      </c>
      <c r="X248" s="308">
        <f t="shared" si="76"/>
        <v>0</v>
      </c>
      <c r="Y248" s="309" t="s">
        <v>438</v>
      </c>
      <c r="Z248" s="310">
        <f>(R248+S248+T248)*'1.0-Contractblad'!$L$37</f>
        <v>0</v>
      </c>
      <c r="AA248" s="310">
        <f ca="1">VLOOKUP(E248,'1.2-Jaarprijzen'!$B$51:$Q$88,16,FALSE)*K248</f>
        <v>0</v>
      </c>
      <c r="AC248" s="226">
        <f t="shared" si="77"/>
        <v>0</v>
      </c>
      <c r="AD248" s="226" t="str">
        <f t="shared" si="78"/>
        <v>nvt-0</v>
      </c>
    </row>
    <row r="249" spans="2:30" ht="12.5">
      <c r="B249" s="336"/>
      <c r="C249" s="337"/>
      <c r="D249" s="302">
        <f>VLOOKUP(E249,'1.2-Jaarprijzen'!B:G,6,FALSE)</f>
        <v>1</v>
      </c>
      <c r="E249" s="522" t="s">
        <v>84</v>
      </c>
      <c r="F249" s="532" t="s">
        <v>201</v>
      </c>
      <c r="G249" s="534" t="s">
        <v>342</v>
      </c>
      <c r="H249" s="535" t="s">
        <v>203</v>
      </c>
      <c r="I249" s="303" t="str">
        <f t="shared" si="59"/>
        <v>entree, gang, hal, repro, kopieer, was/droogruimte</v>
      </c>
      <c r="J249" s="302" t="s">
        <v>221</v>
      </c>
      <c r="K249" s="304">
        <v>6.9</v>
      </c>
      <c r="L249" s="304"/>
      <c r="M249" s="305">
        <v>3260</v>
      </c>
      <c r="N249" s="302"/>
      <c r="O249" s="306">
        <f t="shared" si="72"/>
        <v>260</v>
      </c>
      <c r="P249" s="472">
        <v>1</v>
      </c>
      <c r="Q249" s="472">
        <v>1</v>
      </c>
      <c r="R249" s="300">
        <f t="shared" si="73"/>
        <v>3.3112719612312516</v>
      </c>
      <c r="S249" s="300">
        <f t="shared" si="74"/>
        <v>0.78335717752913248</v>
      </c>
      <c r="T249" s="300">
        <f t="shared" si="75"/>
        <v>0</v>
      </c>
      <c r="U249" s="307">
        <f t="shared" si="68"/>
        <v>0.47989448713496397</v>
      </c>
      <c r="V249" s="307">
        <f t="shared" si="69"/>
        <v>0.11353002572885977</v>
      </c>
      <c r="W249" s="307">
        <f t="shared" si="70"/>
        <v>0</v>
      </c>
      <c r="X249" s="308" t="str">
        <f t="shared" si="76"/>
        <v>V</v>
      </c>
      <c r="Y249" s="309" t="s">
        <v>438</v>
      </c>
      <c r="Z249" s="310">
        <f>(R249+S249+T249)*'1.0-Contractblad'!$L$37</f>
        <v>124.34435860459949</v>
      </c>
      <c r="AA249" s="310">
        <f ca="1">VLOOKUP(E249,'1.2-Jaarprijzen'!$B$51:$Q$88,16,FALSE)*K249</f>
        <v>0</v>
      </c>
      <c r="AC249" s="226">
        <f t="shared" si="77"/>
        <v>1794</v>
      </c>
      <c r="AD249" s="226" t="str">
        <f t="shared" si="78"/>
        <v>3260-260</v>
      </c>
    </row>
    <row r="250" spans="2:30" ht="12.5">
      <c r="B250" s="336"/>
      <c r="C250" s="337"/>
      <c r="D250" s="302">
        <f>VLOOKUP(E250,'1.2-Jaarprijzen'!B:G,6,FALSE)</f>
        <v>1</v>
      </c>
      <c r="E250" s="522" t="s">
        <v>84</v>
      </c>
      <c r="F250" s="532" t="s">
        <v>201</v>
      </c>
      <c r="G250" s="534" t="s">
        <v>343</v>
      </c>
      <c r="H250" s="535" t="s">
        <v>207</v>
      </c>
      <c r="I250" s="303" t="str">
        <f t="shared" si="59"/>
        <v>niet van toepassing</v>
      </c>
      <c r="J250" s="302" t="s">
        <v>221</v>
      </c>
      <c r="K250" s="304"/>
      <c r="L250" s="304">
        <v>5.43</v>
      </c>
      <c r="M250" s="305" t="s">
        <v>147</v>
      </c>
      <c r="N250" s="302"/>
      <c r="O250" s="306">
        <f t="shared" si="72"/>
        <v>0</v>
      </c>
      <c r="P250" s="472">
        <v>1</v>
      </c>
      <c r="Q250" s="472">
        <v>1</v>
      </c>
      <c r="R250" s="300">
        <f t="shared" si="73"/>
        <v>0</v>
      </c>
      <c r="S250" s="300">
        <f t="shared" si="74"/>
        <v>0</v>
      </c>
      <c r="T250" s="300">
        <f t="shared" si="75"/>
        <v>0</v>
      </c>
      <c r="U250" s="307">
        <f t="shared" si="68"/>
        <v>0</v>
      </c>
      <c r="V250" s="307">
        <f t="shared" si="69"/>
        <v>0</v>
      </c>
      <c r="W250" s="307">
        <f t="shared" si="70"/>
        <v>0</v>
      </c>
      <c r="X250" s="308">
        <f t="shared" si="76"/>
        <v>0</v>
      </c>
      <c r="Y250" s="309" t="s">
        <v>438</v>
      </c>
      <c r="Z250" s="310">
        <f>(R250+S250+T250)*'1.0-Contractblad'!$L$37</f>
        <v>0</v>
      </c>
      <c r="AA250" s="310">
        <f ca="1">VLOOKUP(E250,'1.2-Jaarprijzen'!$B$51:$Q$88,16,FALSE)*K250</f>
        <v>0</v>
      </c>
      <c r="AC250" s="226">
        <f t="shared" si="77"/>
        <v>0</v>
      </c>
      <c r="AD250" s="226" t="str">
        <f t="shared" si="78"/>
        <v>nvt-0</v>
      </c>
    </row>
    <row r="251" spans="2:30" ht="12.5">
      <c r="B251" s="336"/>
      <c r="C251" s="337"/>
      <c r="D251" s="302">
        <f>VLOOKUP(E251,'1.2-Jaarprijzen'!B:G,6,FALSE)</f>
        <v>1</v>
      </c>
      <c r="E251" s="522" t="s">
        <v>84</v>
      </c>
      <c r="F251" s="532" t="s">
        <v>201</v>
      </c>
      <c r="G251" s="534" t="s">
        <v>345</v>
      </c>
      <c r="H251" s="535" t="s">
        <v>252</v>
      </c>
      <c r="I251" s="303" t="str">
        <f t="shared" si="59"/>
        <v>administratieve -, personeels- en vergaderruimte</v>
      </c>
      <c r="J251" s="302" t="s">
        <v>221</v>
      </c>
      <c r="K251" s="304">
        <v>14.39</v>
      </c>
      <c r="L251" s="304"/>
      <c r="M251" s="305">
        <v>1052</v>
      </c>
      <c r="N251" s="302"/>
      <c r="O251" s="306">
        <f t="shared" si="72"/>
        <v>52</v>
      </c>
      <c r="P251" s="472">
        <v>1</v>
      </c>
      <c r="Q251" s="472">
        <v>1</v>
      </c>
      <c r="R251" s="300">
        <f t="shared" si="73"/>
        <v>1.3259438653852951</v>
      </c>
      <c r="S251" s="300">
        <f t="shared" si="74"/>
        <v>0.61815564819827262</v>
      </c>
      <c r="T251" s="300">
        <f t="shared" si="75"/>
        <v>0</v>
      </c>
      <c r="U251" s="307">
        <f t="shared" si="68"/>
        <v>9.2143423584801598E-2</v>
      </c>
      <c r="V251" s="307">
        <f t="shared" si="69"/>
        <v>4.2957307032541532E-2</v>
      </c>
      <c r="W251" s="307">
        <f t="shared" si="70"/>
        <v>0</v>
      </c>
      <c r="X251" s="308" t="str">
        <f t="shared" si="76"/>
        <v>V</v>
      </c>
      <c r="Y251" s="309" t="s">
        <v>438</v>
      </c>
      <c r="Z251" s="310">
        <f>(R251+S251+T251)*'1.0-Contractblad'!$L$37</f>
        <v>59.03777824265832</v>
      </c>
      <c r="AA251" s="310">
        <f ca="1">VLOOKUP(E251,'1.2-Jaarprijzen'!$B$51:$Q$88,16,FALSE)*K251</f>
        <v>0</v>
      </c>
      <c r="AC251" s="226">
        <f t="shared" si="77"/>
        <v>748.28</v>
      </c>
      <c r="AD251" s="226" t="str">
        <f t="shared" si="78"/>
        <v>1052-52</v>
      </c>
    </row>
    <row r="252" spans="2:30" ht="12.5">
      <c r="B252" s="336"/>
      <c r="C252" s="337"/>
      <c r="D252" s="302">
        <f>VLOOKUP(E252,'1.2-Jaarprijzen'!B:G,6,FALSE)</f>
        <v>1</v>
      </c>
      <c r="E252" s="522" t="s">
        <v>84</v>
      </c>
      <c r="F252" s="302" t="s">
        <v>201</v>
      </c>
      <c r="G252" s="525" t="s">
        <v>346</v>
      </c>
      <c r="H252" s="523" t="s">
        <v>441</v>
      </c>
      <c r="I252" s="303" t="str">
        <f t="shared" si="59"/>
        <v>aula, gemeenschappelijke ruimte, bibliotheek</v>
      </c>
      <c r="J252" s="302" t="s">
        <v>221</v>
      </c>
      <c r="K252" s="304">
        <v>407.36</v>
      </c>
      <c r="L252" s="304"/>
      <c r="M252" s="305">
        <v>2200</v>
      </c>
      <c r="N252" s="302"/>
      <c r="O252" s="306">
        <f t="shared" si="72"/>
        <v>200</v>
      </c>
      <c r="P252" s="472">
        <v>1</v>
      </c>
      <c r="Q252" s="472">
        <v>1</v>
      </c>
      <c r="R252" s="300">
        <f t="shared" si="73"/>
        <v>155.82521746900639</v>
      </c>
      <c r="S252" s="300">
        <f t="shared" si="74"/>
        <v>44.581011414929634</v>
      </c>
      <c r="T252" s="300">
        <f t="shared" si="75"/>
        <v>0</v>
      </c>
      <c r="U252" s="307">
        <f t="shared" si="68"/>
        <v>0.38252459119453652</v>
      </c>
      <c r="V252" s="307">
        <f t="shared" si="69"/>
        <v>0.10943885363052247</v>
      </c>
      <c r="W252" s="307">
        <f t="shared" si="70"/>
        <v>0</v>
      </c>
      <c r="X252" s="308" t="str">
        <f t="shared" si="76"/>
        <v>V</v>
      </c>
      <c r="Y252" s="309" t="s">
        <v>442</v>
      </c>
      <c r="Z252" s="310">
        <f>(R252+S252+T252)*'1.0-Contractblad'!$L$37</f>
        <v>6085.8708191784444</v>
      </c>
      <c r="AA252" s="310">
        <f ca="1">VLOOKUP(E252,'1.2-Jaarprijzen'!$B$51:$Q$88,16,FALSE)*K252</f>
        <v>0</v>
      </c>
      <c r="AC252" s="226">
        <f t="shared" si="77"/>
        <v>81472</v>
      </c>
      <c r="AD252" s="226" t="str">
        <f t="shared" si="78"/>
        <v>2200-200</v>
      </c>
    </row>
    <row r="253" spans="2:30" ht="12.5">
      <c r="B253" s="336"/>
      <c r="C253" s="337"/>
      <c r="D253" s="302">
        <f>VLOOKUP(E253,'1.2-Jaarprijzen'!B:G,6,FALSE)</f>
        <v>1</v>
      </c>
      <c r="E253" s="522" t="s">
        <v>84</v>
      </c>
      <c r="F253" s="302" t="s">
        <v>201</v>
      </c>
      <c r="G253" s="525" t="s">
        <v>443</v>
      </c>
      <c r="H253" s="523" t="s">
        <v>444</v>
      </c>
      <c r="I253" s="303" t="str">
        <f t="shared" si="59"/>
        <v>trappenhuis</v>
      </c>
      <c r="J253" s="302" t="s">
        <v>435</v>
      </c>
      <c r="K253" s="304">
        <v>11</v>
      </c>
      <c r="L253" s="304"/>
      <c r="M253" s="305">
        <v>9200</v>
      </c>
      <c r="N253" s="302"/>
      <c r="O253" s="306">
        <f t="shared" si="72"/>
        <v>200</v>
      </c>
      <c r="P253" s="472">
        <v>1</v>
      </c>
      <c r="Q253" s="472">
        <v>1</v>
      </c>
      <c r="R253" s="300">
        <f t="shared" si="73"/>
        <v>7.7629990565950049</v>
      </c>
      <c r="S253" s="300">
        <f t="shared" si="74"/>
        <v>0.48378110062838442</v>
      </c>
      <c r="T253" s="300">
        <f t="shared" si="75"/>
        <v>0</v>
      </c>
      <c r="U253" s="307">
        <f t="shared" si="68"/>
        <v>0.70572718696318226</v>
      </c>
      <c r="V253" s="307">
        <f t="shared" si="69"/>
        <v>4.3980100057125854E-2</v>
      </c>
      <c r="W253" s="307">
        <f t="shared" si="70"/>
        <v>0</v>
      </c>
      <c r="X253" s="308" t="str">
        <f t="shared" si="76"/>
        <v>V</v>
      </c>
      <c r="Y253" s="309"/>
      <c r="Z253" s="310">
        <f>(R253+S253+T253)*'1.0-Contractblad'!$L$37</f>
        <v>250.43552284042124</v>
      </c>
      <c r="AA253" s="310">
        <f ca="1">VLOOKUP(E253,'1.2-Jaarprijzen'!$B$51:$Q$88,16,FALSE)*K253</f>
        <v>0</v>
      </c>
      <c r="AC253" s="226">
        <f t="shared" si="77"/>
        <v>2200</v>
      </c>
      <c r="AD253" s="226" t="str">
        <f t="shared" si="78"/>
        <v>9200-200</v>
      </c>
    </row>
    <row r="254" spans="2:30" ht="12.5">
      <c r="B254" s="336"/>
      <c r="C254" s="337"/>
      <c r="D254" s="302">
        <f>VLOOKUP(E254,'1.2-Jaarprijzen'!B:G,6,FALSE)</f>
        <v>1</v>
      </c>
      <c r="E254" s="522" t="s">
        <v>84</v>
      </c>
      <c r="F254" s="302" t="s">
        <v>201</v>
      </c>
      <c r="G254" s="525" t="s">
        <v>445</v>
      </c>
      <c r="H254" s="523" t="s">
        <v>444</v>
      </c>
      <c r="I254" s="303" t="str">
        <f t="shared" si="59"/>
        <v>trappenhuis</v>
      </c>
      <c r="J254" s="302" t="s">
        <v>435</v>
      </c>
      <c r="K254" s="304">
        <v>11</v>
      </c>
      <c r="L254" s="304"/>
      <c r="M254" s="305">
        <v>9200</v>
      </c>
      <c r="N254" s="302"/>
      <c r="O254" s="306">
        <f t="shared" si="72"/>
        <v>200</v>
      </c>
      <c r="P254" s="472">
        <v>1</v>
      </c>
      <c r="Q254" s="472">
        <v>1</v>
      </c>
      <c r="R254" s="300">
        <f t="shared" si="73"/>
        <v>7.7629990565950049</v>
      </c>
      <c r="S254" s="300">
        <f t="shared" si="74"/>
        <v>0.48378110062838442</v>
      </c>
      <c r="T254" s="300">
        <f t="shared" si="75"/>
        <v>0</v>
      </c>
      <c r="U254" s="307">
        <f t="shared" si="68"/>
        <v>0.70572718696318226</v>
      </c>
      <c r="V254" s="307">
        <f t="shared" si="69"/>
        <v>4.3980100057125854E-2</v>
      </c>
      <c r="W254" s="307">
        <f t="shared" si="70"/>
        <v>0</v>
      </c>
      <c r="X254" s="308" t="str">
        <f t="shared" si="76"/>
        <v>V</v>
      </c>
      <c r="Y254" s="309"/>
      <c r="Z254" s="310">
        <f>(R254+S254+T254)*'1.0-Contractblad'!$L$37</f>
        <v>250.43552284042124</v>
      </c>
      <c r="AA254" s="310">
        <f ca="1">VLOOKUP(E254,'1.2-Jaarprijzen'!$B$51:$Q$88,16,FALSE)*K254</f>
        <v>0</v>
      </c>
      <c r="AC254" s="226">
        <f t="shared" si="77"/>
        <v>2200</v>
      </c>
      <c r="AD254" s="226" t="str">
        <f t="shared" si="78"/>
        <v>9200-200</v>
      </c>
    </row>
    <row r="255" spans="2:30" ht="12.5">
      <c r="B255" s="336"/>
      <c r="C255" s="337"/>
      <c r="D255" s="302">
        <f>VLOOKUP(E255,'1.2-Jaarprijzen'!B:G,6,FALSE)</f>
        <v>1</v>
      </c>
      <c r="E255" s="522" t="s">
        <v>84</v>
      </c>
      <c r="F255" s="302" t="s">
        <v>201</v>
      </c>
      <c r="G255" s="525" t="s">
        <v>348</v>
      </c>
      <c r="H255" s="523" t="s">
        <v>277</v>
      </c>
      <c r="I255" s="303" t="str">
        <f t="shared" si="59"/>
        <v>entree, gang, hal, repro, kopieer, was/droogruimte</v>
      </c>
      <c r="J255" s="302" t="s">
        <v>221</v>
      </c>
      <c r="K255" s="304">
        <v>163.76</v>
      </c>
      <c r="L255" s="304"/>
      <c r="M255" s="305">
        <v>3200</v>
      </c>
      <c r="N255" s="302"/>
      <c r="O255" s="306">
        <f t="shared" si="72"/>
        <v>200</v>
      </c>
      <c r="P255" s="472">
        <v>1</v>
      </c>
      <c r="Q255" s="472">
        <v>1</v>
      </c>
      <c r="R255" s="300">
        <f t="shared" si="73"/>
        <v>61.637271539781722</v>
      </c>
      <c r="S255" s="300">
        <f t="shared" si="74"/>
        <v>18.591677013358076</v>
      </c>
      <c r="T255" s="300">
        <f t="shared" si="75"/>
        <v>0</v>
      </c>
      <c r="U255" s="307">
        <f t="shared" si="68"/>
        <v>0.37638783304703055</v>
      </c>
      <c r="V255" s="307">
        <f t="shared" si="69"/>
        <v>0.11353002572885977</v>
      </c>
      <c r="W255" s="307">
        <f t="shared" si="70"/>
        <v>0</v>
      </c>
      <c r="X255" s="308" t="str">
        <f t="shared" si="76"/>
        <v>V</v>
      </c>
      <c r="Y255" s="309"/>
      <c r="Z255" s="310">
        <f>(R255+S255+T255)*'1.0-Contractblad'!$L$37</f>
        <v>2436.3664721005084</v>
      </c>
      <c r="AA255" s="310">
        <f ca="1">VLOOKUP(E255,'1.2-Jaarprijzen'!$B$51:$Q$88,16,FALSE)*K255</f>
        <v>0</v>
      </c>
      <c r="AC255" s="226">
        <f t="shared" si="77"/>
        <v>32752</v>
      </c>
      <c r="AD255" s="226" t="str">
        <f t="shared" si="78"/>
        <v>3200-200</v>
      </c>
    </row>
    <row r="256" spans="2:30" ht="12.5">
      <c r="B256" s="336"/>
      <c r="C256" s="337"/>
      <c r="D256" s="302">
        <f>VLOOKUP(E256,'1.2-Jaarprijzen'!B:G,6,FALSE)</f>
        <v>1</v>
      </c>
      <c r="E256" s="522" t="s">
        <v>84</v>
      </c>
      <c r="F256" s="302" t="s">
        <v>201</v>
      </c>
      <c r="G256" s="525" t="s">
        <v>350</v>
      </c>
      <c r="H256" s="523" t="s">
        <v>437</v>
      </c>
      <c r="I256" s="303" t="str">
        <f t="shared" si="59"/>
        <v>leslokaal/leerplein</v>
      </c>
      <c r="J256" s="302" t="s">
        <v>221</v>
      </c>
      <c r="K256" s="304">
        <v>32.549999999999997</v>
      </c>
      <c r="L256" s="304"/>
      <c r="M256" s="305">
        <v>7200</v>
      </c>
      <c r="N256" s="302"/>
      <c r="O256" s="306">
        <f t="shared" si="72"/>
        <v>200</v>
      </c>
      <c r="P256" s="472">
        <v>1</v>
      </c>
      <c r="Q256" s="472">
        <v>1</v>
      </c>
      <c r="R256" s="300">
        <f t="shared" si="73"/>
        <v>17.026153846153846</v>
      </c>
      <c r="S256" s="300">
        <f t="shared" si="74"/>
        <v>3.0046153846153847</v>
      </c>
      <c r="T256" s="300">
        <f t="shared" si="75"/>
        <v>0</v>
      </c>
      <c r="U256" s="307">
        <f t="shared" si="68"/>
        <v>0.52307692307692311</v>
      </c>
      <c r="V256" s="307">
        <f t="shared" si="69"/>
        <v>9.2307692307692313E-2</v>
      </c>
      <c r="W256" s="307">
        <f t="shared" si="70"/>
        <v>0</v>
      </c>
      <c r="X256" s="308" t="str">
        <f t="shared" si="76"/>
        <v>L</v>
      </c>
      <c r="Y256" s="309"/>
      <c r="Z256" s="310">
        <f>(R256+S256+T256)*'1.0-Contractblad'!$L$37</f>
        <v>608.28784926558455</v>
      </c>
      <c r="AA256" s="310">
        <f ca="1">VLOOKUP(E256,'1.2-Jaarprijzen'!$B$51:$Q$88,16,FALSE)*K256</f>
        <v>0</v>
      </c>
      <c r="AC256" s="226">
        <f t="shared" si="77"/>
        <v>6509.9999999999991</v>
      </c>
      <c r="AD256" s="226" t="str">
        <f t="shared" si="78"/>
        <v>7200-200</v>
      </c>
    </row>
    <row r="257" spans="2:30" ht="12.5">
      <c r="B257" s="336"/>
      <c r="C257" s="337"/>
      <c r="D257" s="302">
        <f>VLOOKUP(E257,'1.2-Jaarprijzen'!B:G,6,FALSE)</f>
        <v>1</v>
      </c>
      <c r="E257" s="522" t="s">
        <v>84</v>
      </c>
      <c r="F257" s="302" t="s">
        <v>201</v>
      </c>
      <c r="G257" s="525" t="s">
        <v>351</v>
      </c>
      <c r="H257" s="523" t="s">
        <v>207</v>
      </c>
      <c r="I257" s="303" t="str">
        <f t="shared" si="59"/>
        <v>niet van toepassing</v>
      </c>
      <c r="J257" s="302" t="s">
        <v>221</v>
      </c>
      <c r="K257" s="304"/>
      <c r="L257" s="304">
        <v>5.94</v>
      </c>
      <c r="M257" s="305" t="s">
        <v>147</v>
      </c>
      <c r="N257" s="302"/>
      <c r="O257" s="306">
        <f t="shared" si="72"/>
        <v>0</v>
      </c>
      <c r="P257" s="472">
        <v>1</v>
      </c>
      <c r="Q257" s="472">
        <v>1</v>
      </c>
      <c r="R257" s="300">
        <f t="shared" si="73"/>
        <v>0</v>
      </c>
      <c r="S257" s="300">
        <f t="shared" si="74"/>
        <v>0</v>
      </c>
      <c r="T257" s="300">
        <f t="shared" si="75"/>
        <v>0</v>
      </c>
      <c r="U257" s="307">
        <f t="shared" si="68"/>
        <v>0</v>
      </c>
      <c r="V257" s="307">
        <f t="shared" si="69"/>
        <v>0</v>
      </c>
      <c r="W257" s="307">
        <f t="shared" si="70"/>
        <v>0</v>
      </c>
      <c r="X257" s="308">
        <f t="shared" si="76"/>
        <v>0</v>
      </c>
      <c r="Y257" s="309"/>
      <c r="Z257" s="310">
        <f>(R257+S257+T257)*'1.0-Contractblad'!$L$37</f>
        <v>0</v>
      </c>
      <c r="AA257" s="310">
        <f ca="1">VLOOKUP(E257,'1.2-Jaarprijzen'!$B$51:$Q$88,16,FALSE)*K257</f>
        <v>0</v>
      </c>
      <c r="AC257" s="226">
        <f t="shared" si="77"/>
        <v>0</v>
      </c>
      <c r="AD257" s="226" t="str">
        <f t="shared" si="78"/>
        <v>nvt-0</v>
      </c>
    </row>
    <row r="258" spans="2:30" ht="12.5">
      <c r="B258" s="336"/>
      <c r="C258" s="337"/>
      <c r="D258" s="302">
        <f>VLOOKUP(E258,'1.2-Jaarprijzen'!B:G,6,FALSE)</f>
        <v>1</v>
      </c>
      <c r="E258" s="522" t="s">
        <v>84</v>
      </c>
      <c r="F258" s="302" t="s">
        <v>201</v>
      </c>
      <c r="G258" s="525" t="s">
        <v>352</v>
      </c>
      <c r="H258" s="524" t="s">
        <v>439</v>
      </c>
      <c r="I258" s="303" t="str">
        <f t="shared" si="59"/>
        <v>sanitaire ruimte (toilet-/doucheruimte)</v>
      </c>
      <c r="J258" s="302" t="s">
        <v>221</v>
      </c>
      <c r="K258" s="304">
        <v>19.010000000000002</v>
      </c>
      <c r="L258" s="304"/>
      <c r="M258" s="305">
        <v>4200</v>
      </c>
      <c r="N258" s="302"/>
      <c r="O258" s="306">
        <f t="shared" si="72"/>
        <v>200</v>
      </c>
      <c r="P258" s="472">
        <v>1</v>
      </c>
      <c r="Q258" s="472">
        <v>1</v>
      </c>
      <c r="R258" s="300">
        <f t="shared" si="73"/>
        <v>50.949077723474701</v>
      </c>
      <c r="S258" s="300">
        <f t="shared" si="74"/>
        <v>8.9910137159073003</v>
      </c>
      <c r="T258" s="300">
        <f t="shared" si="75"/>
        <v>0</v>
      </c>
      <c r="U258" s="307">
        <f t="shared" si="68"/>
        <v>2.6801198171212359</v>
      </c>
      <c r="V258" s="307">
        <f t="shared" si="69"/>
        <v>0.4729623206684534</v>
      </c>
      <c r="W258" s="307">
        <f t="shared" si="70"/>
        <v>0</v>
      </c>
      <c r="X258" s="308" t="str">
        <f t="shared" si="76"/>
        <v>S</v>
      </c>
      <c r="Y258" s="309"/>
      <c r="Z258" s="310">
        <f>(R258+S258+T258)*'1.0-Contractblad'!$L$37</f>
        <v>1820.2410944077342</v>
      </c>
      <c r="AA258" s="310">
        <f ca="1">VLOOKUP(E258,'1.2-Jaarprijzen'!$B$51:$Q$88,16,FALSE)*K258</f>
        <v>0</v>
      </c>
      <c r="AC258" s="226">
        <f t="shared" si="77"/>
        <v>3802.0000000000005</v>
      </c>
      <c r="AD258" s="226" t="str">
        <f t="shared" si="78"/>
        <v>4200-200</v>
      </c>
    </row>
    <row r="259" spans="2:30" ht="12.5">
      <c r="B259" s="336"/>
      <c r="C259" s="337"/>
      <c r="D259" s="302">
        <f>VLOOKUP(E259,'1.2-Jaarprijzen'!B:G,6,FALSE)</f>
        <v>1</v>
      </c>
      <c r="E259" s="522" t="s">
        <v>84</v>
      </c>
      <c r="F259" s="302" t="s">
        <v>201</v>
      </c>
      <c r="G259" s="525" t="s">
        <v>353</v>
      </c>
      <c r="H259" s="523" t="s">
        <v>437</v>
      </c>
      <c r="I259" s="303" t="str">
        <f t="shared" si="59"/>
        <v>leslokaal/leerplein</v>
      </c>
      <c r="J259" s="302" t="s">
        <v>221</v>
      </c>
      <c r="K259" s="304">
        <v>30.38</v>
      </c>
      <c r="L259" s="304"/>
      <c r="M259" s="305">
        <v>7200</v>
      </c>
      <c r="N259" s="302"/>
      <c r="O259" s="306">
        <f t="shared" si="72"/>
        <v>200</v>
      </c>
      <c r="P259" s="472">
        <v>1</v>
      </c>
      <c r="Q259" s="472">
        <v>1</v>
      </c>
      <c r="R259" s="300">
        <f t="shared" si="73"/>
        <v>15.891076923076923</v>
      </c>
      <c r="S259" s="300">
        <f t="shared" si="74"/>
        <v>2.8043076923076922</v>
      </c>
      <c r="T259" s="300">
        <f t="shared" si="75"/>
        <v>0</v>
      </c>
      <c r="U259" s="307">
        <f t="shared" si="68"/>
        <v>0.52307692307692311</v>
      </c>
      <c r="V259" s="307">
        <f t="shared" si="69"/>
        <v>9.2307692307692313E-2</v>
      </c>
      <c r="W259" s="307">
        <f t="shared" si="70"/>
        <v>0</v>
      </c>
      <c r="X259" s="308" t="str">
        <f t="shared" si="76"/>
        <v>L</v>
      </c>
      <c r="Y259" s="309"/>
      <c r="Z259" s="310">
        <f>(R259+S259+T259)*'1.0-Contractblad'!$L$37</f>
        <v>567.73532598121221</v>
      </c>
      <c r="AA259" s="310">
        <f ca="1">VLOOKUP(E259,'1.2-Jaarprijzen'!$B$51:$Q$88,16,FALSE)*K259</f>
        <v>0</v>
      </c>
      <c r="AC259" s="226">
        <f t="shared" si="77"/>
        <v>6076</v>
      </c>
      <c r="AD259" s="226" t="str">
        <f t="shared" si="78"/>
        <v>7200-200</v>
      </c>
    </row>
    <row r="260" spans="2:30" ht="12.5">
      <c r="B260" s="336"/>
      <c r="C260" s="337"/>
      <c r="D260" s="302">
        <f>VLOOKUP(E260,'1.2-Jaarprijzen'!B:G,6,FALSE)</f>
        <v>1</v>
      </c>
      <c r="E260" s="522" t="s">
        <v>84</v>
      </c>
      <c r="F260" s="302" t="s">
        <v>201</v>
      </c>
      <c r="G260" s="525" t="s">
        <v>354</v>
      </c>
      <c r="H260" s="523" t="s">
        <v>437</v>
      </c>
      <c r="I260" s="303" t="str">
        <f t="shared" si="59"/>
        <v>leslokaal/leerplein</v>
      </c>
      <c r="J260" s="302" t="s">
        <v>221</v>
      </c>
      <c r="K260" s="304">
        <v>26.4</v>
      </c>
      <c r="L260" s="304"/>
      <c r="M260" s="305">
        <v>7200</v>
      </c>
      <c r="N260" s="302"/>
      <c r="O260" s="306">
        <f t="shared" si="72"/>
        <v>200</v>
      </c>
      <c r="P260" s="472">
        <v>1</v>
      </c>
      <c r="Q260" s="472">
        <v>1</v>
      </c>
      <c r="R260" s="300">
        <f t="shared" si="73"/>
        <v>13.809230769230769</v>
      </c>
      <c r="S260" s="300">
        <f t="shared" si="74"/>
        <v>2.436923076923077</v>
      </c>
      <c r="T260" s="300">
        <f t="shared" si="75"/>
        <v>0</v>
      </c>
      <c r="U260" s="307">
        <f t="shared" si="68"/>
        <v>0.52307692307692311</v>
      </c>
      <c r="V260" s="307">
        <f t="shared" si="69"/>
        <v>9.2307692307692313E-2</v>
      </c>
      <c r="W260" s="307">
        <f t="shared" si="70"/>
        <v>0</v>
      </c>
      <c r="X260" s="308" t="str">
        <f t="shared" si="76"/>
        <v>L</v>
      </c>
      <c r="Y260" s="309"/>
      <c r="Z260" s="310">
        <f>(R260+S260+T260)*'1.0-Contractblad'!$L$37</f>
        <v>493.35788696194874</v>
      </c>
      <c r="AA260" s="310">
        <f ca="1">VLOOKUP(E260,'1.2-Jaarprijzen'!$B$51:$Q$88,16,FALSE)*K260</f>
        <v>0</v>
      </c>
      <c r="AC260" s="226">
        <f t="shared" si="77"/>
        <v>5280</v>
      </c>
      <c r="AD260" s="226" t="str">
        <f t="shared" si="78"/>
        <v>7200-200</v>
      </c>
    </row>
    <row r="261" spans="2:30" ht="12.5">
      <c r="B261" s="336"/>
      <c r="C261" s="337"/>
      <c r="D261" s="302">
        <f>VLOOKUP(E261,'1.2-Jaarprijzen'!B:G,6,FALSE)</f>
        <v>1</v>
      </c>
      <c r="E261" s="522" t="s">
        <v>84</v>
      </c>
      <c r="F261" s="302" t="s">
        <v>201</v>
      </c>
      <c r="G261" s="525" t="s">
        <v>355</v>
      </c>
      <c r="H261" s="523" t="s">
        <v>437</v>
      </c>
      <c r="I261" s="303" t="str">
        <f t="shared" si="59"/>
        <v>leslokaal/leerplein</v>
      </c>
      <c r="J261" s="302" t="s">
        <v>221</v>
      </c>
      <c r="K261" s="304">
        <v>26.4</v>
      </c>
      <c r="L261" s="304"/>
      <c r="M261" s="305">
        <v>7200</v>
      </c>
      <c r="N261" s="302"/>
      <c r="O261" s="306">
        <f t="shared" si="72"/>
        <v>200</v>
      </c>
      <c r="P261" s="472">
        <v>1</v>
      </c>
      <c r="Q261" s="472">
        <v>1</v>
      </c>
      <c r="R261" s="300">
        <f t="shared" si="73"/>
        <v>13.809230769230769</v>
      </c>
      <c r="S261" s="300">
        <f t="shared" si="74"/>
        <v>2.436923076923077</v>
      </c>
      <c r="T261" s="300">
        <f t="shared" si="75"/>
        <v>0</v>
      </c>
      <c r="U261" s="307">
        <f t="shared" si="68"/>
        <v>0.52307692307692311</v>
      </c>
      <c r="V261" s="307">
        <f t="shared" si="69"/>
        <v>9.2307692307692313E-2</v>
      </c>
      <c r="W261" s="307">
        <f t="shared" si="70"/>
        <v>0</v>
      </c>
      <c r="X261" s="308" t="str">
        <f t="shared" si="76"/>
        <v>L</v>
      </c>
      <c r="Y261" s="309"/>
      <c r="Z261" s="310">
        <f>(R261+S261+T261)*'1.0-Contractblad'!$L$37</f>
        <v>493.35788696194874</v>
      </c>
      <c r="AA261" s="310">
        <f ca="1">VLOOKUP(E261,'1.2-Jaarprijzen'!$B$51:$Q$88,16,FALSE)*K261</f>
        <v>0</v>
      </c>
      <c r="AC261" s="226">
        <f t="shared" si="77"/>
        <v>5280</v>
      </c>
      <c r="AD261" s="226" t="str">
        <f t="shared" si="78"/>
        <v>7200-200</v>
      </c>
    </row>
    <row r="262" spans="2:30" ht="12.5">
      <c r="B262" s="336"/>
      <c r="C262" s="337"/>
      <c r="D262" s="302">
        <f>VLOOKUP(E262,'1.2-Jaarprijzen'!B:G,6,FALSE)</f>
        <v>1</v>
      </c>
      <c r="E262" s="522" t="s">
        <v>84</v>
      </c>
      <c r="F262" s="302" t="s">
        <v>201</v>
      </c>
      <c r="G262" s="525" t="s">
        <v>356</v>
      </c>
      <c r="H262" s="523" t="s">
        <v>437</v>
      </c>
      <c r="I262" s="303" t="str">
        <f t="shared" si="59"/>
        <v>leslokaal/leerplein</v>
      </c>
      <c r="J262" s="302" t="s">
        <v>221</v>
      </c>
      <c r="K262" s="304">
        <v>48.13</v>
      </c>
      <c r="L262" s="304"/>
      <c r="M262" s="305">
        <v>7200</v>
      </c>
      <c r="N262" s="302"/>
      <c r="O262" s="306">
        <f t="shared" si="72"/>
        <v>200</v>
      </c>
      <c r="P262" s="472">
        <v>1</v>
      </c>
      <c r="Q262" s="472">
        <v>1</v>
      </c>
      <c r="R262" s="300">
        <f t="shared" si="73"/>
        <v>25.175692307692309</v>
      </c>
      <c r="S262" s="300">
        <f t="shared" si="74"/>
        <v>4.4427692307692315</v>
      </c>
      <c r="T262" s="300">
        <f t="shared" si="75"/>
        <v>0</v>
      </c>
      <c r="U262" s="307">
        <f t="shared" si="68"/>
        <v>0.52307692307692311</v>
      </c>
      <c r="V262" s="307">
        <f t="shared" si="69"/>
        <v>9.2307692307692313E-2</v>
      </c>
      <c r="W262" s="307">
        <f t="shared" si="70"/>
        <v>0</v>
      </c>
      <c r="X262" s="308" t="str">
        <f t="shared" si="76"/>
        <v>L</v>
      </c>
      <c r="Y262" s="309"/>
      <c r="Z262" s="310">
        <f>(R262+S262+T262)*'1.0-Contractblad'!$L$37</f>
        <v>899.44375376812854</v>
      </c>
      <c r="AA262" s="310">
        <f ca="1">VLOOKUP(E262,'1.2-Jaarprijzen'!$B$51:$Q$88,16,FALSE)*K262</f>
        <v>0</v>
      </c>
      <c r="AC262" s="226">
        <f t="shared" si="77"/>
        <v>9626</v>
      </c>
      <c r="AD262" s="226" t="str">
        <f t="shared" si="78"/>
        <v>7200-200</v>
      </c>
    </row>
    <row r="263" spans="2:30" ht="12.5">
      <c r="B263" s="336"/>
      <c r="C263" s="337"/>
      <c r="D263" s="302">
        <f>VLOOKUP(E263,'1.2-Jaarprijzen'!B:G,6,FALSE)</f>
        <v>1</v>
      </c>
      <c r="E263" s="522" t="s">
        <v>84</v>
      </c>
      <c r="F263" s="302" t="s">
        <v>201</v>
      </c>
      <c r="G263" s="525" t="s">
        <v>446</v>
      </c>
      <c r="H263" s="524" t="s">
        <v>439</v>
      </c>
      <c r="I263" s="303" t="str">
        <f t="shared" si="59"/>
        <v>sanitaire ruimte (toilet-/doucheruimte)</v>
      </c>
      <c r="J263" s="302" t="s">
        <v>221</v>
      </c>
      <c r="K263" s="304">
        <v>8.4700000000000006</v>
      </c>
      <c r="L263" s="304"/>
      <c r="M263" s="305">
        <v>4200</v>
      </c>
      <c r="N263" s="302"/>
      <c r="O263" s="306">
        <f t="shared" si="72"/>
        <v>200</v>
      </c>
      <c r="P263" s="472">
        <v>1</v>
      </c>
      <c r="Q263" s="472">
        <v>1</v>
      </c>
      <c r="R263" s="300">
        <f t="shared" si="73"/>
        <v>22.700614851016869</v>
      </c>
      <c r="S263" s="300">
        <f t="shared" si="74"/>
        <v>4.0059908560618007</v>
      </c>
      <c r="T263" s="300">
        <f t="shared" si="75"/>
        <v>0</v>
      </c>
      <c r="U263" s="307">
        <f t="shared" si="68"/>
        <v>2.6801198171212359</v>
      </c>
      <c r="V263" s="307">
        <f t="shared" si="69"/>
        <v>0.4729623206684534</v>
      </c>
      <c r="W263" s="307">
        <f t="shared" si="70"/>
        <v>0</v>
      </c>
      <c r="X263" s="308" t="str">
        <f t="shared" si="76"/>
        <v>S</v>
      </c>
      <c r="Y263" s="309"/>
      <c r="Z263" s="310">
        <f>(R263+S263+T263)*'1.0-Contractblad'!$L$37</f>
        <v>811.01746815536603</v>
      </c>
      <c r="AA263" s="310">
        <f ca="1">VLOOKUP(E263,'1.2-Jaarprijzen'!$B$51:$Q$88,16,FALSE)*K263</f>
        <v>0</v>
      </c>
      <c r="AC263" s="226">
        <f t="shared" si="77"/>
        <v>1694.0000000000002</v>
      </c>
      <c r="AD263" s="226" t="str">
        <f t="shared" si="78"/>
        <v>4200-200</v>
      </c>
    </row>
    <row r="264" spans="2:30" ht="12.5">
      <c r="B264" s="336"/>
      <c r="C264" s="337"/>
      <c r="D264" s="302">
        <f>VLOOKUP(E264,'1.2-Jaarprijzen'!B:G,6,FALSE)</f>
        <v>1</v>
      </c>
      <c r="E264" s="522" t="s">
        <v>84</v>
      </c>
      <c r="F264" s="302" t="s">
        <v>201</v>
      </c>
      <c r="G264" s="525" t="s">
        <v>447</v>
      </c>
      <c r="H264" s="523" t="s">
        <v>437</v>
      </c>
      <c r="I264" s="303" t="str">
        <f t="shared" si="59"/>
        <v>leslokaal/leerplein</v>
      </c>
      <c r="J264" s="302" t="s">
        <v>221</v>
      </c>
      <c r="K264" s="304">
        <v>49.7</v>
      </c>
      <c r="L264" s="304"/>
      <c r="M264" s="305">
        <v>7200</v>
      </c>
      <c r="N264" s="302"/>
      <c r="O264" s="306">
        <f t="shared" si="72"/>
        <v>200</v>
      </c>
      <c r="P264" s="472">
        <v>1</v>
      </c>
      <c r="Q264" s="472">
        <v>1</v>
      </c>
      <c r="R264" s="300">
        <f t="shared" si="73"/>
        <v>25.996923076923078</v>
      </c>
      <c r="S264" s="300">
        <f t="shared" si="74"/>
        <v>4.5876923076923086</v>
      </c>
      <c r="T264" s="300">
        <f t="shared" si="75"/>
        <v>0</v>
      </c>
      <c r="U264" s="307">
        <f t="shared" si="68"/>
        <v>0.52307692307692311</v>
      </c>
      <c r="V264" s="307">
        <f t="shared" si="69"/>
        <v>9.2307692307692313E-2</v>
      </c>
      <c r="W264" s="307">
        <f t="shared" si="70"/>
        <v>0</v>
      </c>
      <c r="X264" s="308" t="str">
        <f t="shared" si="76"/>
        <v>L</v>
      </c>
      <c r="Y264" s="309"/>
      <c r="Z264" s="310">
        <f>(R264+S264+T264)*'1.0-Contractblad'!$L$37</f>
        <v>928.78359780336575</v>
      </c>
      <c r="AA264" s="310">
        <f ca="1">VLOOKUP(E264,'1.2-Jaarprijzen'!$B$51:$Q$88,16,FALSE)*K264</f>
        <v>0</v>
      </c>
      <c r="AC264" s="226">
        <f t="shared" si="77"/>
        <v>9940</v>
      </c>
      <c r="AD264" s="226" t="str">
        <f t="shared" si="78"/>
        <v>7200-200</v>
      </c>
    </row>
    <row r="265" spans="2:30" ht="12.5">
      <c r="B265" s="336"/>
      <c r="C265" s="337"/>
      <c r="D265" s="302">
        <f>VLOOKUP(E265,'1.2-Jaarprijzen'!B:G,6,FALSE)</f>
        <v>1</v>
      </c>
      <c r="E265" s="522" t="s">
        <v>84</v>
      </c>
      <c r="F265" s="302" t="s">
        <v>201</v>
      </c>
      <c r="G265" s="525" t="s">
        <v>357</v>
      </c>
      <c r="H265" s="523" t="s">
        <v>203</v>
      </c>
      <c r="I265" s="303" t="str">
        <f t="shared" si="59"/>
        <v>entree, gang, hal, repro, kopieer, was/droogruimte</v>
      </c>
      <c r="J265" s="302" t="s">
        <v>221</v>
      </c>
      <c r="K265" s="304">
        <v>8.69</v>
      </c>
      <c r="L265" s="304"/>
      <c r="M265" s="305">
        <v>3200</v>
      </c>
      <c r="N265" s="302"/>
      <c r="O265" s="306">
        <f t="shared" si="72"/>
        <v>200</v>
      </c>
      <c r="P265" s="472">
        <v>1</v>
      </c>
      <c r="Q265" s="472">
        <v>1</v>
      </c>
      <c r="R265" s="300">
        <f t="shared" si="73"/>
        <v>3.2708102691786953</v>
      </c>
      <c r="S265" s="300">
        <f t="shared" si="74"/>
        <v>0.98657592358379131</v>
      </c>
      <c r="T265" s="300">
        <f t="shared" si="75"/>
        <v>0</v>
      </c>
      <c r="U265" s="307">
        <f t="shared" si="68"/>
        <v>0.37638783304703055</v>
      </c>
      <c r="V265" s="307">
        <f t="shared" si="69"/>
        <v>0.11353002572885977</v>
      </c>
      <c r="W265" s="307">
        <f t="shared" si="70"/>
        <v>0</v>
      </c>
      <c r="X265" s="308" t="str">
        <f t="shared" si="76"/>
        <v>V</v>
      </c>
      <c r="Y265" s="309"/>
      <c r="Z265" s="310">
        <f>(R265+S265+T265)*'1.0-Contractblad'!$L$37</f>
        <v>129.28691159351132</v>
      </c>
      <c r="AA265" s="310">
        <f ca="1">VLOOKUP(E265,'1.2-Jaarprijzen'!$B$51:$Q$88,16,FALSE)*K265</f>
        <v>0</v>
      </c>
      <c r="AC265" s="226">
        <f t="shared" si="77"/>
        <v>1738</v>
      </c>
      <c r="AD265" s="226" t="str">
        <f t="shared" si="78"/>
        <v>3200-200</v>
      </c>
    </row>
    <row r="266" spans="2:30" ht="12.5">
      <c r="B266" s="336"/>
      <c r="C266" s="337"/>
      <c r="D266" s="302">
        <f>VLOOKUP(E266,'1.2-Jaarprijzen'!B:G,6,FALSE)</f>
        <v>1</v>
      </c>
      <c r="E266" s="522" t="s">
        <v>84</v>
      </c>
      <c r="F266" s="302" t="s">
        <v>201</v>
      </c>
      <c r="G266" s="525" t="s">
        <v>448</v>
      </c>
      <c r="H266" s="524" t="s">
        <v>439</v>
      </c>
      <c r="I266" s="303" t="str">
        <f t="shared" si="59"/>
        <v>sanitaire ruimte (toilet-/doucheruimte)</v>
      </c>
      <c r="J266" s="302" t="s">
        <v>221</v>
      </c>
      <c r="K266" s="304">
        <v>13.34</v>
      </c>
      <c r="L266" s="304"/>
      <c r="M266" s="305">
        <v>4200</v>
      </c>
      <c r="N266" s="302"/>
      <c r="O266" s="306">
        <f t="shared" si="72"/>
        <v>200</v>
      </c>
      <c r="P266" s="472">
        <v>1</v>
      </c>
      <c r="Q266" s="472">
        <v>1</v>
      </c>
      <c r="R266" s="300">
        <f t="shared" si="73"/>
        <v>35.752798360397286</v>
      </c>
      <c r="S266" s="300">
        <f t="shared" si="74"/>
        <v>6.309317357717168</v>
      </c>
      <c r="T266" s="300">
        <f t="shared" si="75"/>
        <v>0</v>
      </c>
      <c r="U266" s="307">
        <f t="shared" si="68"/>
        <v>2.6801198171212359</v>
      </c>
      <c r="V266" s="307">
        <f t="shared" si="69"/>
        <v>0.4729623206684534</v>
      </c>
      <c r="W266" s="307">
        <f t="shared" si="70"/>
        <v>0</v>
      </c>
      <c r="X266" s="308" t="str">
        <f t="shared" si="76"/>
        <v>S</v>
      </c>
      <c r="Y266" s="309"/>
      <c r="Z266" s="310">
        <f>(R266+S266+T266)*'1.0-Contractblad'!$L$37</f>
        <v>1277.3285744029022</v>
      </c>
      <c r="AA266" s="310">
        <f ca="1">VLOOKUP(E266,'1.2-Jaarprijzen'!$B$51:$Q$88,16,FALSE)*K266</f>
        <v>0</v>
      </c>
      <c r="AC266" s="226">
        <f t="shared" si="77"/>
        <v>2668</v>
      </c>
      <c r="AD266" s="226" t="str">
        <f t="shared" si="78"/>
        <v>4200-200</v>
      </c>
    </row>
    <row r="267" spans="2:30" ht="12.5">
      <c r="B267" s="336"/>
      <c r="C267" s="337"/>
      <c r="D267" s="302">
        <f>VLOOKUP(E267,'1.2-Jaarprijzen'!B:G,6,FALSE)</f>
        <v>1</v>
      </c>
      <c r="E267" s="522" t="s">
        <v>84</v>
      </c>
      <c r="F267" s="302" t="s">
        <v>201</v>
      </c>
      <c r="G267" s="525" t="s">
        <v>359</v>
      </c>
      <c r="H267" s="523" t="s">
        <v>437</v>
      </c>
      <c r="I267" s="303" t="str">
        <f t="shared" si="59"/>
        <v>leslokaal/leerplein</v>
      </c>
      <c r="J267" s="302" t="s">
        <v>221</v>
      </c>
      <c r="K267" s="304">
        <v>49.82</v>
      </c>
      <c r="L267" s="304"/>
      <c r="M267" s="305">
        <v>7200</v>
      </c>
      <c r="N267" s="302"/>
      <c r="O267" s="306">
        <f t="shared" si="72"/>
        <v>200</v>
      </c>
      <c r="P267" s="472">
        <v>1</v>
      </c>
      <c r="Q267" s="472">
        <v>1</v>
      </c>
      <c r="R267" s="300">
        <f t="shared" si="73"/>
        <v>26.059692307692309</v>
      </c>
      <c r="S267" s="300">
        <f t="shared" si="74"/>
        <v>4.5987692307692312</v>
      </c>
      <c r="T267" s="300">
        <f t="shared" si="75"/>
        <v>0</v>
      </c>
      <c r="U267" s="307">
        <f t="shared" si="68"/>
        <v>0.52307692307692311</v>
      </c>
      <c r="V267" s="307">
        <f t="shared" si="69"/>
        <v>9.2307692307692313E-2</v>
      </c>
      <c r="W267" s="307">
        <f t="shared" si="70"/>
        <v>0</v>
      </c>
      <c r="X267" s="308" t="str">
        <f t="shared" si="76"/>
        <v>L</v>
      </c>
      <c r="Y267" s="309"/>
      <c r="Z267" s="310">
        <f>(R267+S267+T267)*'1.0-Contractblad'!$L$37</f>
        <v>931.0261336531928</v>
      </c>
      <c r="AA267" s="310">
        <f ca="1">VLOOKUP(E267,'1.2-Jaarprijzen'!$B$51:$Q$88,16,FALSE)*K267</f>
        <v>0</v>
      </c>
      <c r="AC267" s="226">
        <f t="shared" si="77"/>
        <v>9964</v>
      </c>
      <c r="AD267" s="226" t="str">
        <f t="shared" si="78"/>
        <v>7200-200</v>
      </c>
    </row>
    <row r="268" spans="2:30" ht="12.5">
      <c r="B268" s="336"/>
      <c r="C268" s="337"/>
      <c r="D268" s="302">
        <f>VLOOKUP(E268,'1.2-Jaarprijzen'!B:G,6,FALSE)</f>
        <v>1</v>
      </c>
      <c r="E268" s="522" t="s">
        <v>84</v>
      </c>
      <c r="F268" s="302" t="s">
        <v>201</v>
      </c>
      <c r="G268" s="525" t="s">
        <v>449</v>
      </c>
      <c r="H268" s="523" t="s">
        <v>207</v>
      </c>
      <c r="I268" s="303" t="str">
        <f t="shared" si="59"/>
        <v>niet van toepassing</v>
      </c>
      <c r="J268" s="302" t="s">
        <v>221</v>
      </c>
      <c r="K268" s="304"/>
      <c r="L268" s="304">
        <v>7.6</v>
      </c>
      <c r="M268" s="305" t="s">
        <v>147</v>
      </c>
      <c r="N268" s="302"/>
      <c r="O268" s="306">
        <f t="shared" si="72"/>
        <v>0</v>
      </c>
      <c r="P268" s="472">
        <v>1</v>
      </c>
      <c r="Q268" s="472">
        <v>1</v>
      </c>
      <c r="R268" s="300">
        <f t="shared" si="73"/>
        <v>0</v>
      </c>
      <c r="S268" s="300">
        <f t="shared" si="74"/>
        <v>0</v>
      </c>
      <c r="T268" s="300">
        <f t="shared" si="75"/>
        <v>0</v>
      </c>
      <c r="U268" s="307">
        <f t="shared" si="68"/>
        <v>0</v>
      </c>
      <c r="V268" s="307">
        <f t="shared" si="69"/>
        <v>0</v>
      </c>
      <c r="W268" s="307">
        <f t="shared" si="70"/>
        <v>0</v>
      </c>
      <c r="X268" s="308">
        <f t="shared" si="76"/>
        <v>0</v>
      </c>
      <c r="Y268" s="309"/>
      <c r="Z268" s="310">
        <f>(R268+S268+T268)*'1.0-Contractblad'!$L$37</f>
        <v>0</v>
      </c>
      <c r="AA268" s="310">
        <f ca="1">VLOOKUP(E268,'1.2-Jaarprijzen'!$B$51:$Q$88,16,FALSE)*K268</f>
        <v>0</v>
      </c>
      <c r="AC268" s="226">
        <f t="shared" si="77"/>
        <v>0</v>
      </c>
      <c r="AD268" s="226" t="str">
        <f t="shared" si="78"/>
        <v>nvt-0</v>
      </c>
    </row>
    <row r="269" spans="2:30" ht="12.5">
      <c r="B269" s="336"/>
      <c r="C269" s="337"/>
      <c r="D269" s="302">
        <f>VLOOKUP(E269,'1.2-Jaarprijzen'!B:G,6,FALSE)</f>
        <v>1</v>
      </c>
      <c r="E269" s="522" t="s">
        <v>84</v>
      </c>
      <c r="F269" s="302" t="s">
        <v>201</v>
      </c>
      <c r="G269" s="525" t="s">
        <v>450</v>
      </c>
      <c r="H269" s="523" t="s">
        <v>207</v>
      </c>
      <c r="I269" s="303" t="str">
        <f t="shared" si="59"/>
        <v>niet van toepassing</v>
      </c>
      <c r="J269" s="302" t="s">
        <v>221</v>
      </c>
      <c r="K269" s="304"/>
      <c r="L269" s="304">
        <v>4.42</v>
      </c>
      <c r="M269" s="305" t="s">
        <v>147</v>
      </c>
      <c r="N269" s="302"/>
      <c r="O269" s="306">
        <f t="shared" si="72"/>
        <v>0</v>
      </c>
      <c r="P269" s="472">
        <v>1</v>
      </c>
      <c r="Q269" s="472">
        <v>1</v>
      </c>
      <c r="R269" s="300">
        <f t="shared" si="73"/>
        <v>0</v>
      </c>
      <c r="S269" s="300">
        <f t="shared" si="74"/>
        <v>0</v>
      </c>
      <c r="T269" s="300">
        <f t="shared" si="75"/>
        <v>0</v>
      </c>
      <c r="U269" s="307">
        <f t="shared" si="68"/>
        <v>0</v>
      </c>
      <c r="V269" s="307">
        <f t="shared" si="69"/>
        <v>0</v>
      </c>
      <c r="W269" s="307">
        <f t="shared" si="70"/>
        <v>0</v>
      </c>
      <c r="X269" s="308">
        <f t="shared" si="76"/>
        <v>0</v>
      </c>
      <c r="Y269" s="309"/>
      <c r="Z269" s="310">
        <f>(R269+S269+T269)*'1.0-Contractblad'!$L$37</f>
        <v>0</v>
      </c>
      <c r="AA269" s="310">
        <f ca="1">VLOOKUP(E269,'1.2-Jaarprijzen'!$B$51:$Q$88,16,FALSE)*K269</f>
        <v>0</v>
      </c>
      <c r="AC269" s="226">
        <f t="shared" si="77"/>
        <v>0</v>
      </c>
      <c r="AD269" s="226" t="str">
        <f t="shared" si="78"/>
        <v>nvt-0</v>
      </c>
    </row>
    <row r="270" spans="2:30" ht="12.5">
      <c r="B270" s="336"/>
      <c r="C270" s="337"/>
      <c r="D270" s="302">
        <f>VLOOKUP(E270,'1.2-Jaarprijzen'!B:G,6,FALSE)</f>
        <v>1</v>
      </c>
      <c r="E270" s="522" t="s">
        <v>84</v>
      </c>
      <c r="F270" s="302" t="s">
        <v>201</v>
      </c>
      <c r="G270" s="525" t="s">
        <v>451</v>
      </c>
      <c r="H270" s="523" t="s">
        <v>452</v>
      </c>
      <c r="I270" s="303" t="str">
        <f t="shared" si="59"/>
        <v>niet van toepassing</v>
      </c>
      <c r="J270" s="302" t="s">
        <v>221</v>
      </c>
      <c r="K270" s="304"/>
      <c r="L270" s="304">
        <v>1.6</v>
      </c>
      <c r="M270" s="305" t="s">
        <v>147</v>
      </c>
      <c r="N270" s="302"/>
      <c r="O270" s="306">
        <f t="shared" si="72"/>
        <v>0</v>
      </c>
      <c r="P270" s="472">
        <v>1</v>
      </c>
      <c r="Q270" s="472">
        <v>1</v>
      </c>
      <c r="R270" s="300">
        <f t="shared" si="73"/>
        <v>0</v>
      </c>
      <c r="S270" s="300">
        <f t="shared" si="74"/>
        <v>0</v>
      </c>
      <c r="T270" s="300">
        <f t="shared" si="75"/>
        <v>0</v>
      </c>
      <c r="U270" s="307">
        <f t="shared" si="68"/>
        <v>0</v>
      </c>
      <c r="V270" s="307">
        <f t="shared" si="69"/>
        <v>0</v>
      </c>
      <c r="W270" s="307">
        <f t="shared" si="70"/>
        <v>0</v>
      </c>
      <c r="X270" s="308">
        <f t="shared" si="76"/>
        <v>0</v>
      </c>
      <c r="Y270" s="309"/>
      <c r="Z270" s="310">
        <f>(R270+S270+T270)*'1.0-Contractblad'!$L$37</f>
        <v>0</v>
      </c>
      <c r="AA270" s="310">
        <f ca="1">VLOOKUP(E270,'1.2-Jaarprijzen'!$B$51:$Q$88,16,FALSE)*K270</f>
        <v>0</v>
      </c>
      <c r="AC270" s="226">
        <f t="shared" si="77"/>
        <v>0</v>
      </c>
      <c r="AD270" s="226" t="str">
        <f t="shared" si="78"/>
        <v>nvt-0</v>
      </c>
    </row>
    <row r="271" spans="2:30" ht="12.5">
      <c r="B271" s="336"/>
      <c r="C271" s="337"/>
      <c r="D271" s="302">
        <f>VLOOKUP(E271,'1.2-Jaarprijzen'!B:G,6,FALSE)</f>
        <v>1</v>
      </c>
      <c r="E271" s="522" t="s">
        <v>84</v>
      </c>
      <c r="F271" s="302" t="s">
        <v>201</v>
      </c>
      <c r="G271" s="525" t="s">
        <v>453</v>
      </c>
      <c r="H271" s="523" t="s">
        <v>207</v>
      </c>
      <c r="I271" s="303" t="str">
        <f t="shared" si="59"/>
        <v>niet van toepassing</v>
      </c>
      <c r="J271" s="302" t="s">
        <v>221</v>
      </c>
      <c r="K271" s="304"/>
      <c r="L271" s="304">
        <v>8.5</v>
      </c>
      <c r="M271" s="305" t="s">
        <v>147</v>
      </c>
      <c r="N271" s="302"/>
      <c r="O271" s="306">
        <f t="shared" si="72"/>
        <v>0</v>
      </c>
      <c r="P271" s="472">
        <v>1</v>
      </c>
      <c r="Q271" s="472">
        <v>1</v>
      </c>
      <c r="R271" s="300">
        <f t="shared" si="73"/>
        <v>0</v>
      </c>
      <c r="S271" s="300">
        <f t="shared" si="74"/>
        <v>0</v>
      </c>
      <c r="T271" s="300">
        <f t="shared" si="75"/>
        <v>0</v>
      </c>
      <c r="U271" s="307">
        <f t="shared" si="68"/>
        <v>0</v>
      </c>
      <c r="V271" s="307">
        <f t="shared" si="69"/>
        <v>0</v>
      </c>
      <c r="W271" s="307">
        <f t="shared" si="70"/>
        <v>0</v>
      </c>
      <c r="X271" s="308">
        <f t="shared" si="76"/>
        <v>0</v>
      </c>
      <c r="Y271" s="309"/>
      <c r="Z271" s="310">
        <f>(R271+S271+T271)*'1.0-Contractblad'!$L$37</f>
        <v>0</v>
      </c>
      <c r="AA271" s="310">
        <f ca="1">VLOOKUP(E271,'1.2-Jaarprijzen'!$B$51:$Q$88,16,FALSE)*K271</f>
        <v>0</v>
      </c>
      <c r="AC271" s="226">
        <f t="shared" si="77"/>
        <v>0</v>
      </c>
      <c r="AD271" s="226" t="str">
        <f t="shared" si="78"/>
        <v>nvt-0</v>
      </c>
    </row>
    <row r="272" spans="2:30" ht="12.5">
      <c r="B272" s="336"/>
      <c r="C272" s="337"/>
      <c r="D272" s="302">
        <f>VLOOKUP(E272,'1.2-Jaarprijzen'!B:G,6,FALSE)</f>
        <v>1</v>
      </c>
      <c r="E272" s="522" t="s">
        <v>84</v>
      </c>
      <c r="F272" s="302" t="s">
        <v>201</v>
      </c>
      <c r="G272" s="525" t="s">
        <v>454</v>
      </c>
      <c r="H272" s="523" t="s">
        <v>280</v>
      </c>
      <c r="I272" s="303" t="str">
        <f t="shared" si="59"/>
        <v>entree, gang, hal, repro, kopieer, was/droogruimte</v>
      </c>
      <c r="J272" s="302" t="s">
        <v>221</v>
      </c>
      <c r="K272" s="304">
        <v>18.309999999999999</v>
      </c>
      <c r="L272" s="304"/>
      <c r="M272" s="305">
        <v>3200</v>
      </c>
      <c r="N272" s="302"/>
      <c r="O272" s="306">
        <f t="shared" si="72"/>
        <v>200</v>
      </c>
      <c r="P272" s="472">
        <v>1</v>
      </c>
      <c r="Q272" s="472">
        <v>1</v>
      </c>
      <c r="R272" s="300">
        <f t="shared" si="73"/>
        <v>6.8916612230911287</v>
      </c>
      <c r="S272" s="300">
        <f t="shared" si="74"/>
        <v>2.078734771095422</v>
      </c>
      <c r="T272" s="300">
        <f t="shared" si="75"/>
        <v>0</v>
      </c>
      <c r="U272" s="307">
        <f t="shared" si="68"/>
        <v>0.37638783304703055</v>
      </c>
      <c r="V272" s="307">
        <f t="shared" si="69"/>
        <v>0.11353002572885977</v>
      </c>
      <c r="W272" s="307">
        <f t="shared" si="70"/>
        <v>0</v>
      </c>
      <c r="X272" s="308" t="str">
        <f t="shared" si="76"/>
        <v>V</v>
      </c>
      <c r="Y272" s="309"/>
      <c r="Z272" s="310">
        <f>(R272+S272+T272)*'1.0-Contractblad'!$L$37</f>
        <v>272.41005193063199</v>
      </c>
      <c r="AA272" s="310">
        <f ca="1">VLOOKUP(E272,'1.2-Jaarprijzen'!$B$51:$Q$88,16,FALSE)*K272</f>
        <v>0</v>
      </c>
      <c r="AC272" s="226">
        <f t="shared" si="77"/>
        <v>3661.9999999999995</v>
      </c>
      <c r="AD272" s="226" t="str">
        <f t="shared" si="78"/>
        <v>3200-200</v>
      </c>
    </row>
    <row r="273" spans="2:30" ht="12.5">
      <c r="B273" s="336"/>
      <c r="C273" s="337"/>
      <c r="D273" s="302">
        <f>VLOOKUP(E273,'1.2-Jaarprijzen'!B:G,6,FALSE)</f>
        <v>1</v>
      </c>
      <c r="E273" s="522" t="s">
        <v>84</v>
      </c>
      <c r="F273" s="302" t="s">
        <v>201</v>
      </c>
      <c r="G273" s="525" t="s">
        <v>455</v>
      </c>
      <c r="H273" s="523" t="s">
        <v>319</v>
      </c>
      <c r="I273" s="303" t="str">
        <f t="shared" si="59"/>
        <v>trappenhuis</v>
      </c>
      <c r="J273" s="302" t="s">
        <v>435</v>
      </c>
      <c r="K273" s="304">
        <v>3.6</v>
      </c>
      <c r="L273" s="304"/>
      <c r="M273" s="305">
        <v>9200</v>
      </c>
      <c r="N273" s="302"/>
      <c r="O273" s="306">
        <f t="shared" si="72"/>
        <v>200</v>
      </c>
      <c r="P273" s="472">
        <v>1</v>
      </c>
      <c r="Q273" s="472">
        <v>1</v>
      </c>
      <c r="R273" s="300">
        <f t="shared" si="73"/>
        <v>2.5406178730674562</v>
      </c>
      <c r="S273" s="300">
        <f t="shared" si="74"/>
        <v>0.15832836020565308</v>
      </c>
      <c r="T273" s="300">
        <f t="shared" si="75"/>
        <v>0</v>
      </c>
      <c r="U273" s="307">
        <f t="shared" si="68"/>
        <v>0.70572718696318226</v>
      </c>
      <c r="V273" s="307">
        <f t="shared" si="69"/>
        <v>4.3980100057125854E-2</v>
      </c>
      <c r="W273" s="307">
        <f t="shared" si="70"/>
        <v>0</v>
      </c>
      <c r="X273" s="308" t="str">
        <f t="shared" si="76"/>
        <v>V</v>
      </c>
      <c r="Y273" s="309"/>
      <c r="Z273" s="310">
        <f>(R273+S273+T273)*'1.0-Contractblad'!$L$37</f>
        <v>81.960716565956034</v>
      </c>
      <c r="AA273" s="310">
        <f ca="1">VLOOKUP(E273,'1.2-Jaarprijzen'!$B$51:$Q$88,16,FALSE)*K273</f>
        <v>0</v>
      </c>
      <c r="AC273" s="226">
        <f t="shared" si="77"/>
        <v>720</v>
      </c>
      <c r="AD273" s="226" t="str">
        <f t="shared" si="78"/>
        <v>9200-200</v>
      </c>
    </row>
    <row r="274" spans="2:30" ht="12.5">
      <c r="B274" s="336"/>
      <c r="C274" s="337"/>
      <c r="D274" s="302">
        <f>VLOOKUP(E274,'1.2-Jaarprijzen'!B:G,6,FALSE)</f>
        <v>1</v>
      </c>
      <c r="E274" s="522" t="s">
        <v>84</v>
      </c>
      <c r="F274" s="302" t="s">
        <v>201</v>
      </c>
      <c r="G274" s="525" t="s">
        <v>456</v>
      </c>
      <c r="H274" s="523" t="s">
        <v>207</v>
      </c>
      <c r="I274" s="303" t="str">
        <f t="shared" si="59"/>
        <v>niet van toepassing</v>
      </c>
      <c r="J274" s="302" t="s">
        <v>221</v>
      </c>
      <c r="K274" s="304"/>
      <c r="L274" s="304">
        <v>2.37</v>
      </c>
      <c r="M274" s="305" t="s">
        <v>147</v>
      </c>
      <c r="N274" s="302"/>
      <c r="O274" s="306">
        <f t="shared" si="72"/>
        <v>0</v>
      </c>
      <c r="P274" s="472">
        <v>1</v>
      </c>
      <c r="Q274" s="472">
        <v>1</v>
      </c>
      <c r="R274" s="300">
        <f t="shared" si="73"/>
        <v>0</v>
      </c>
      <c r="S274" s="300">
        <f t="shared" si="74"/>
        <v>0</v>
      </c>
      <c r="T274" s="300">
        <f t="shared" si="75"/>
        <v>0</v>
      </c>
      <c r="U274" s="307">
        <f t="shared" si="68"/>
        <v>0</v>
      </c>
      <c r="V274" s="307">
        <f t="shared" si="69"/>
        <v>0</v>
      </c>
      <c r="W274" s="307">
        <f t="shared" si="70"/>
        <v>0</v>
      </c>
      <c r="X274" s="308">
        <f t="shared" si="76"/>
        <v>0</v>
      </c>
      <c r="Y274" s="309"/>
      <c r="Z274" s="310">
        <f>(R274+S274+T274)*'1.0-Contractblad'!$L$37</f>
        <v>0</v>
      </c>
      <c r="AA274" s="310">
        <f ca="1">VLOOKUP(E274,'1.2-Jaarprijzen'!$B$51:$Q$88,16,FALSE)*K274</f>
        <v>0</v>
      </c>
      <c r="AC274" s="226">
        <f t="shared" si="77"/>
        <v>0</v>
      </c>
      <c r="AD274" s="226" t="str">
        <f t="shared" si="78"/>
        <v>nvt-0</v>
      </c>
    </row>
    <row r="275" spans="2:30" ht="12.5">
      <c r="B275" s="336"/>
      <c r="C275" s="337"/>
      <c r="D275" s="302">
        <f>VLOOKUP(E275,'1.2-Jaarprijzen'!B:G,6,FALSE)</f>
        <v>1</v>
      </c>
      <c r="E275" s="522" t="s">
        <v>84</v>
      </c>
      <c r="F275" s="302" t="s">
        <v>201</v>
      </c>
      <c r="G275" s="525" t="s">
        <v>457</v>
      </c>
      <c r="H275" s="523" t="s">
        <v>252</v>
      </c>
      <c r="I275" s="303" t="str">
        <f t="shared" si="59"/>
        <v>administratieve -, personeels- en vergaderruimte</v>
      </c>
      <c r="J275" s="302" t="s">
        <v>221</v>
      </c>
      <c r="K275" s="304">
        <v>18.8</v>
      </c>
      <c r="L275" s="304"/>
      <c r="M275" s="305">
        <v>1080</v>
      </c>
      <c r="N275" s="302"/>
      <c r="O275" s="306">
        <f t="shared" si="72"/>
        <v>80</v>
      </c>
      <c r="P275" s="472">
        <v>1</v>
      </c>
      <c r="Q275" s="472">
        <v>1</v>
      </c>
      <c r="R275" s="300">
        <f t="shared" si="73"/>
        <v>3.9335384615384621</v>
      </c>
      <c r="S275" s="300">
        <f t="shared" si="74"/>
        <v>0.69415384615384623</v>
      </c>
      <c r="T275" s="300">
        <f t="shared" si="75"/>
        <v>0</v>
      </c>
      <c r="U275" s="307">
        <f t="shared" si="68"/>
        <v>0.20923076923076925</v>
      </c>
      <c r="V275" s="307">
        <f t="shared" si="69"/>
        <v>3.6923076923076927E-2</v>
      </c>
      <c r="W275" s="307">
        <f t="shared" si="70"/>
        <v>0</v>
      </c>
      <c r="X275" s="308" t="str">
        <f t="shared" si="76"/>
        <v>V</v>
      </c>
      <c r="Y275" s="309"/>
      <c r="Z275" s="310">
        <f>(R275+S275+T275)*'1.0-Contractblad'!$L$37</f>
        <v>140.53224658916119</v>
      </c>
      <c r="AA275" s="310">
        <f ca="1">VLOOKUP(E275,'1.2-Jaarprijzen'!$B$51:$Q$88,16,FALSE)*K275</f>
        <v>0</v>
      </c>
      <c r="AC275" s="226">
        <f t="shared" si="77"/>
        <v>1504</v>
      </c>
      <c r="AD275" s="226" t="str">
        <f t="shared" si="78"/>
        <v>1080-80</v>
      </c>
    </row>
    <row r="276" spans="2:30" ht="12.5">
      <c r="B276" s="336"/>
      <c r="C276" s="337"/>
      <c r="D276" s="302">
        <f>VLOOKUP(E276,'1.2-Jaarprijzen'!B:G,6,FALSE)</f>
        <v>1</v>
      </c>
      <c r="E276" s="522" t="s">
        <v>84</v>
      </c>
      <c r="F276" s="302" t="s">
        <v>201</v>
      </c>
      <c r="G276" s="525" t="s">
        <v>458</v>
      </c>
      <c r="H276" s="523" t="s">
        <v>280</v>
      </c>
      <c r="I276" s="303" t="str">
        <f t="shared" ref="I276:I339" si="79">IF($M276="",0,VLOOKUP($M276,Kengetal,4,FALSE))</f>
        <v>entree, gang, hal, repro, kopieer, was/droogruimte</v>
      </c>
      <c r="J276" s="302" t="s">
        <v>221</v>
      </c>
      <c r="K276" s="304">
        <v>8.15</v>
      </c>
      <c r="L276" s="304"/>
      <c r="M276" s="305">
        <v>3200</v>
      </c>
      <c r="N276" s="302"/>
      <c r="O276" s="306">
        <f t="shared" si="72"/>
        <v>200</v>
      </c>
      <c r="P276" s="472">
        <v>1</v>
      </c>
      <c r="Q276" s="472">
        <v>1</v>
      </c>
      <c r="R276" s="300">
        <f t="shared" si="73"/>
        <v>3.0675608393332991</v>
      </c>
      <c r="S276" s="300">
        <f t="shared" si="74"/>
        <v>0.92526970969020716</v>
      </c>
      <c r="T276" s="300">
        <f t="shared" si="75"/>
        <v>0</v>
      </c>
      <c r="U276" s="307">
        <f t="shared" si="68"/>
        <v>0.37638783304703055</v>
      </c>
      <c r="V276" s="307">
        <f t="shared" si="69"/>
        <v>0.11353002572885977</v>
      </c>
      <c r="W276" s="307">
        <f t="shared" si="70"/>
        <v>0</v>
      </c>
      <c r="X276" s="308" t="str">
        <f t="shared" si="76"/>
        <v>V</v>
      </c>
      <c r="Y276" s="309"/>
      <c r="Z276" s="310">
        <f>(R276+S276+T276)*'1.0-Contractblad'!$L$37</f>
        <v>121.25297232302847</v>
      </c>
      <c r="AA276" s="310">
        <f ca="1">VLOOKUP(E276,'1.2-Jaarprijzen'!$B$51:$Q$88,16,FALSE)*K276</f>
        <v>0</v>
      </c>
      <c r="AC276" s="226">
        <f t="shared" si="77"/>
        <v>1630</v>
      </c>
      <c r="AD276" s="226" t="str">
        <f t="shared" si="78"/>
        <v>3200-200</v>
      </c>
    </row>
    <row r="277" spans="2:30" ht="12.5">
      <c r="B277" s="336"/>
      <c r="C277" s="337"/>
      <c r="D277" s="302">
        <f>VLOOKUP(E277,'1.2-Jaarprijzen'!B:G,6,FALSE)</f>
        <v>1</v>
      </c>
      <c r="E277" s="522" t="s">
        <v>84</v>
      </c>
      <c r="F277" s="302" t="s">
        <v>201</v>
      </c>
      <c r="G277" s="525" t="s">
        <v>459</v>
      </c>
      <c r="H277" s="523" t="s">
        <v>252</v>
      </c>
      <c r="I277" s="303" t="str">
        <f t="shared" si="79"/>
        <v>administratieve -, personeels- en vergaderruimte</v>
      </c>
      <c r="J277" s="302" t="s">
        <v>221</v>
      </c>
      <c r="K277" s="304">
        <v>15.7</v>
      </c>
      <c r="L277" s="304"/>
      <c r="M277" s="305">
        <v>1080</v>
      </c>
      <c r="N277" s="302"/>
      <c r="O277" s="306">
        <f t="shared" si="72"/>
        <v>80</v>
      </c>
      <c r="P277" s="472">
        <v>1</v>
      </c>
      <c r="Q277" s="472">
        <v>1</v>
      </c>
      <c r="R277" s="300">
        <f t="shared" si="73"/>
        <v>3.2849230769230768</v>
      </c>
      <c r="S277" s="300">
        <f t="shared" si="74"/>
        <v>0.57969230769230773</v>
      </c>
      <c r="T277" s="300">
        <f t="shared" si="75"/>
        <v>0</v>
      </c>
      <c r="U277" s="307">
        <f t="shared" si="68"/>
        <v>0.20923076923076925</v>
      </c>
      <c r="V277" s="307">
        <f t="shared" si="69"/>
        <v>3.6923076923076927E-2</v>
      </c>
      <c r="W277" s="307">
        <f t="shared" si="70"/>
        <v>0</v>
      </c>
      <c r="X277" s="308" t="str">
        <f t="shared" si="76"/>
        <v>V</v>
      </c>
      <c r="Y277" s="309"/>
      <c r="Z277" s="310">
        <f>(R277+S277+T277)*'1.0-Contractblad'!$L$37</f>
        <v>117.35937614094841</v>
      </c>
      <c r="AA277" s="310">
        <f ca="1">VLOOKUP(E277,'1.2-Jaarprijzen'!$B$51:$Q$88,16,FALSE)*K277</f>
        <v>0</v>
      </c>
      <c r="AC277" s="226">
        <f t="shared" si="77"/>
        <v>1256</v>
      </c>
      <c r="AD277" s="226" t="str">
        <f t="shared" si="78"/>
        <v>1080-80</v>
      </c>
    </row>
    <row r="278" spans="2:30" ht="12.5">
      <c r="B278" s="336"/>
      <c r="C278" s="337"/>
      <c r="D278" s="302">
        <f>VLOOKUP(E278,'1.2-Jaarprijzen'!B:G,6,FALSE)</f>
        <v>1</v>
      </c>
      <c r="E278" s="522" t="s">
        <v>84</v>
      </c>
      <c r="F278" s="302" t="s">
        <v>201</v>
      </c>
      <c r="G278" s="525" t="s">
        <v>460</v>
      </c>
      <c r="H278" s="523" t="s">
        <v>252</v>
      </c>
      <c r="I278" s="303" t="str">
        <f t="shared" si="79"/>
        <v>administratieve -, personeels- en vergaderruimte</v>
      </c>
      <c r="J278" s="302" t="s">
        <v>221</v>
      </c>
      <c r="K278" s="304">
        <v>22.41</v>
      </c>
      <c r="L278" s="304"/>
      <c r="M278" s="305">
        <v>1080</v>
      </c>
      <c r="N278" s="302"/>
      <c r="O278" s="306">
        <f t="shared" si="72"/>
        <v>80</v>
      </c>
      <c r="P278" s="472">
        <v>1</v>
      </c>
      <c r="Q278" s="472">
        <v>1</v>
      </c>
      <c r="R278" s="300">
        <f t="shared" si="73"/>
        <v>4.6888615384615386</v>
      </c>
      <c r="S278" s="300">
        <f t="shared" si="74"/>
        <v>0.82744615384615394</v>
      </c>
      <c r="T278" s="300">
        <f t="shared" si="75"/>
        <v>0</v>
      </c>
      <c r="U278" s="307">
        <f t="shared" si="68"/>
        <v>0.20923076923076925</v>
      </c>
      <c r="V278" s="307">
        <f t="shared" si="69"/>
        <v>3.6923076923076927E-2</v>
      </c>
      <c r="W278" s="307">
        <f t="shared" si="70"/>
        <v>0</v>
      </c>
      <c r="X278" s="308" t="str">
        <f t="shared" si="76"/>
        <v>V</v>
      </c>
      <c r="Y278" s="309"/>
      <c r="Z278" s="310">
        <f>(R278+S278+T278)*'1.0-Contractblad'!$L$37</f>
        <v>167.51742798207988</v>
      </c>
      <c r="AA278" s="310">
        <f ca="1">VLOOKUP(E278,'1.2-Jaarprijzen'!$B$51:$Q$88,16,FALSE)*K278</f>
        <v>0</v>
      </c>
      <c r="AC278" s="226">
        <f t="shared" si="77"/>
        <v>1792.8</v>
      </c>
      <c r="AD278" s="226" t="str">
        <f t="shared" si="78"/>
        <v>1080-80</v>
      </c>
    </row>
    <row r="279" spans="2:30" ht="12.5">
      <c r="B279" s="336"/>
      <c r="C279" s="337"/>
      <c r="D279" s="302">
        <f>VLOOKUP(E279,'1.2-Jaarprijzen'!B:G,6,FALSE)</f>
        <v>1</v>
      </c>
      <c r="E279" s="522" t="s">
        <v>84</v>
      </c>
      <c r="F279" s="302" t="s">
        <v>201</v>
      </c>
      <c r="G279" s="525" t="s">
        <v>461</v>
      </c>
      <c r="H279" s="523" t="s">
        <v>207</v>
      </c>
      <c r="I279" s="303" t="str">
        <f t="shared" si="79"/>
        <v>niet van toepassing</v>
      </c>
      <c r="J279" s="302" t="s">
        <v>221</v>
      </c>
      <c r="K279" s="304"/>
      <c r="L279" s="304">
        <v>7.09</v>
      </c>
      <c r="M279" s="305" t="s">
        <v>147</v>
      </c>
      <c r="N279" s="302"/>
      <c r="O279" s="306">
        <f t="shared" si="72"/>
        <v>0</v>
      </c>
      <c r="P279" s="472">
        <v>1</v>
      </c>
      <c r="Q279" s="472">
        <v>1</v>
      </c>
      <c r="R279" s="300">
        <f t="shared" si="73"/>
        <v>0</v>
      </c>
      <c r="S279" s="300">
        <f t="shared" si="74"/>
        <v>0</v>
      </c>
      <c r="T279" s="300">
        <f t="shared" si="75"/>
        <v>0</v>
      </c>
      <c r="U279" s="307">
        <f t="shared" si="68"/>
        <v>0</v>
      </c>
      <c r="V279" s="307">
        <f t="shared" si="69"/>
        <v>0</v>
      </c>
      <c r="W279" s="307">
        <f t="shared" si="70"/>
        <v>0</v>
      </c>
      <c r="X279" s="308">
        <f t="shared" si="76"/>
        <v>0</v>
      </c>
      <c r="Y279" s="309"/>
      <c r="Z279" s="310">
        <f>(R279+S279+T279)*'1.0-Contractblad'!$L$37</f>
        <v>0</v>
      </c>
      <c r="AA279" s="310">
        <f ca="1">VLOOKUP(E279,'1.2-Jaarprijzen'!$B$51:$Q$88,16,FALSE)*K279</f>
        <v>0</v>
      </c>
      <c r="AC279" s="226">
        <f t="shared" si="77"/>
        <v>0</v>
      </c>
      <c r="AD279" s="226" t="str">
        <f t="shared" si="78"/>
        <v>nvt-0</v>
      </c>
    </row>
    <row r="280" spans="2:30" ht="12.5">
      <c r="B280" s="336"/>
      <c r="C280" s="337"/>
      <c r="D280" s="302">
        <f>VLOOKUP(E280,'1.2-Jaarprijzen'!B:G,6,FALSE)</f>
        <v>1</v>
      </c>
      <c r="E280" s="522" t="s">
        <v>84</v>
      </c>
      <c r="F280" s="302" t="s">
        <v>201</v>
      </c>
      <c r="G280" s="525" t="s">
        <v>462</v>
      </c>
      <c r="H280" s="523" t="s">
        <v>437</v>
      </c>
      <c r="I280" s="303" t="str">
        <f t="shared" si="79"/>
        <v>leslokaal/leerplein</v>
      </c>
      <c r="J280" s="302" t="s">
        <v>221</v>
      </c>
      <c r="K280" s="304">
        <v>101.45</v>
      </c>
      <c r="L280" s="304"/>
      <c r="M280" s="305">
        <v>7200</v>
      </c>
      <c r="N280" s="302"/>
      <c r="O280" s="306">
        <f t="shared" si="72"/>
        <v>200</v>
      </c>
      <c r="P280" s="472">
        <v>1</v>
      </c>
      <c r="Q280" s="472">
        <v>1</v>
      </c>
      <c r="R280" s="300">
        <f t="shared" si="73"/>
        <v>53.066153846153853</v>
      </c>
      <c r="S280" s="300">
        <f t="shared" si="74"/>
        <v>9.3646153846153855</v>
      </c>
      <c r="T280" s="300">
        <f t="shared" si="75"/>
        <v>0</v>
      </c>
      <c r="U280" s="307">
        <f t="shared" si="68"/>
        <v>0.52307692307692311</v>
      </c>
      <c r="V280" s="307">
        <f t="shared" si="69"/>
        <v>9.2307692307692313E-2</v>
      </c>
      <c r="W280" s="307">
        <f t="shared" si="70"/>
        <v>0</v>
      </c>
      <c r="X280" s="308" t="str">
        <f t="shared" si="76"/>
        <v>L</v>
      </c>
      <c r="Y280" s="309"/>
      <c r="Z280" s="310">
        <f>(R280+S280+T280)*'1.0-Contractblad'!$L$37</f>
        <v>1895.8771830412768</v>
      </c>
      <c r="AA280" s="310">
        <f ca="1">VLOOKUP(E280,'1.2-Jaarprijzen'!$B$51:$Q$88,16,FALSE)*K280</f>
        <v>0</v>
      </c>
      <c r="AC280" s="226">
        <f t="shared" si="77"/>
        <v>20290</v>
      </c>
      <c r="AD280" s="226" t="str">
        <f t="shared" si="78"/>
        <v>7200-200</v>
      </c>
    </row>
    <row r="281" spans="2:30" ht="12.5">
      <c r="B281" s="336"/>
      <c r="C281" s="337"/>
      <c r="D281" s="302">
        <f>VLOOKUP(E281,'1.2-Jaarprijzen'!B:G,6,FALSE)</f>
        <v>1</v>
      </c>
      <c r="E281" s="522" t="s">
        <v>84</v>
      </c>
      <c r="F281" s="302" t="s">
        <v>201</v>
      </c>
      <c r="G281" s="525" t="s">
        <v>463</v>
      </c>
      <c r="H281" s="523" t="s">
        <v>207</v>
      </c>
      <c r="I281" s="303" t="str">
        <f t="shared" si="79"/>
        <v>niet van toepassing</v>
      </c>
      <c r="J281" s="302" t="s">
        <v>221</v>
      </c>
      <c r="K281" s="304"/>
      <c r="L281" s="304">
        <v>11.55</v>
      </c>
      <c r="M281" s="305" t="s">
        <v>147</v>
      </c>
      <c r="N281" s="302"/>
      <c r="O281" s="306">
        <f t="shared" si="72"/>
        <v>0</v>
      </c>
      <c r="P281" s="472">
        <v>1</v>
      </c>
      <c r="Q281" s="472">
        <v>1</v>
      </c>
      <c r="R281" s="300">
        <f t="shared" si="73"/>
        <v>0</v>
      </c>
      <c r="S281" s="300">
        <f t="shared" si="74"/>
        <v>0</v>
      </c>
      <c r="T281" s="300">
        <f t="shared" si="75"/>
        <v>0</v>
      </c>
      <c r="U281" s="307">
        <f t="shared" si="68"/>
        <v>0</v>
      </c>
      <c r="V281" s="307">
        <f t="shared" si="69"/>
        <v>0</v>
      </c>
      <c r="W281" s="307">
        <f t="shared" si="70"/>
        <v>0</v>
      </c>
      <c r="X281" s="308">
        <f t="shared" si="76"/>
        <v>0</v>
      </c>
      <c r="Y281" s="309"/>
      <c r="Z281" s="310">
        <f>(R281+S281+T281)*'1.0-Contractblad'!$L$37</f>
        <v>0</v>
      </c>
      <c r="AA281" s="310">
        <f ca="1">VLOOKUP(E281,'1.2-Jaarprijzen'!$B$51:$Q$88,16,FALSE)*K281</f>
        <v>0</v>
      </c>
      <c r="AC281" s="226">
        <f t="shared" si="77"/>
        <v>0</v>
      </c>
      <c r="AD281" s="226" t="str">
        <f t="shared" si="78"/>
        <v>nvt-0</v>
      </c>
    </row>
    <row r="282" spans="2:30" ht="12.5">
      <c r="B282" s="336"/>
      <c r="C282" s="337"/>
      <c r="D282" s="302">
        <f>VLOOKUP(E282,'1.2-Jaarprijzen'!B:G,6,FALSE)</f>
        <v>1</v>
      </c>
      <c r="E282" s="522" t="s">
        <v>84</v>
      </c>
      <c r="F282" s="302" t="s">
        <v>272</v>
      </c>
      <c r="G282" s="525" t="s">
        <v>273</v>
      </c>
      <c r="H282" s="524" t="s">
        <v>464</v>
      </c>
      <c r="I282" s="303" t="str">
        <f t="shared" si="79"/>
        <v>entree, gang, hal, repro, kopieer, was/droogruimte</v>
      </c>
      <c r="J282" s="302" t="s">
        <v>221</v>
      </c>
      <c r="K282" s="304">
        <v>13.06</v>
      </c>
      <c r="L282" s="304"/>
      <c r="M282" s="305">
        <v>3200</v>
      </c>
      <c r="N282" s="302"/>
      <c r="O282" s="306">
        <f t="shared" si="72"/>
        <v>200</v>
      </c>
      <c r="P282" s="472">
        <v>1</v>
      </c>
      <c r="Q282" s="472">
        <v>1</v>
      </c>
      <c r="R282" s="300">
        <f t="shared" si="73"/>
        <v>4.9156250995942194</v>
      </c>
      <c r="S282" s="300">
        <f t="shared" si="74"/>
        <v>1.4827021360189088</v>
      </c>
      <c r="T282" s="300">
        <f t="shared" si="75"/>
        <v>0</v>
      </c>
      <c r="U282" s="307">
        <f t="shared" si="68"/>
        <v>0.37638783304703055</v>
      </c>
      <c r="V282" s="307">
        <f t="shared" si="69"/>
        <v>0.11353002572885977</v>
      </c>
      <c r="W282" s="307">
        <f t="shared" si="70"/>
        <v>0</v>
      </c>
      <c r="X282" s="308" t="str">
        <f t="shared" si="76"/>
        <v>V</v>
      </c>
      <c r="Y282" s="309"/>
      <c r="Z282" s="310">
        <f>(R282+S282+T282)*'1.0-Contractblad'!$L$37</f>
        <v>194.30230902315975</v>
      </c>
      <c r="AA282" s="310">
        <f ca="1">VLOOKUP(E282,'1.2-Jaarprijzen'!$B$51:$Q$88,16,FALSE)*K282</f>
        <v>0</v>
      </c>
      <c r="AC282" s="226">
        <f t="shared" si="77"/>
        <v>2612</v>
      </c>
      <c r="AD282" s="226" t="str">
        <f t="shared" si="78"/>
        <v>3200-200</v>
      </c>
    </row>
    <row r="283" spans="2:30" ht="12.5">
      <c r="B283" s="336"/>
      <c r="C283" s="337"/>
      <c r="D283" s="302">
        <f>VLOOKUP(E283,'1.2-Jaarprijzen'!B:G,6,FALSE)</f>
        <v>1</v>
      </c>
      <c r="E283" s="522" t="s">
        <v>84</v>
      </c>
      <c r="F283" s="302" t="s">
        <v>272</v>
      </c>
      <c r="G283" s="525" t="s">
        <v>361</v>
      </c>
      <c r="H283" s="523" t="s">
        <v>362</v>
      </c>
      <c r="I283" s="303" t="str">
        <f t="shared" si="79"/>
        <v>trappenhuis</v>
      </c>
      <c r="J283" s="302" t="s">
        <v>435</v>
      </c>
      <c r="K283" s="304">
        <v>3.5999999999999996</v>
      </c>
      <c r="L283" s="304"/>
      <c r="M283" s="305">
        <v>9200</v>
      </c>
      <c r="N283" s="302"/>
      <c r="O283" s="306">
        <f t="shared" si="72"/>
        <v>200</v>
      </c>
      <c r="P283" s="472">
        <v>1</v>
      </c>
      <c r="Q283" s="472">
        <v>1</v>
      </c>
      <c r="R283" s="300">
        <f t="shared" si="73"/>
        <v>2.5406178730674558</v>
      </c>
      <c r="S283" s="300">
        <f t="shared" si="74"/>
        <v>0.15832836020565305</v>
      </c>
      <c r="T283" s="300">
        <f t="shared" si="75"/>
        <v>0</v>
      </c>
      <c r="U283" s="307">
        <f t="shared" si="68"/>
        <v>0.70572718696318226</v>
      </c>
      <c r="V283" s="307">
        <f t="shared" si="69"/>
        <v>4.3980100057125854E-2</v>
      </c>
      <c r="W283" s="307">
        <f t="shared" si="70"/>
        <v>0</v>
      </c>
      <c r="X283" s="308" t="str">
        <f t="shared" si="76"/>
        <v>V</v>
      </c>
      <c r="Y283" s="309"/>
      <c r="Z283" s="310">
        <f>(R283+S283+T283)*'1.0-Contractblad'!$L$37</f>
        <v>81.96071656595602</v>
      </c>
      <c r="AA283" s="310">
        <f ca="1">VLOOKUP(E283,'1.2-Jaarprijzen'!$B$51:$Q$88,16,FALSE)*K283</f>
        <v>0</v>
      </c>
      <c r="AC283" s="226">
        <f t="shared" si="77"/>
        <v>719.99999999999989</v>
      </c>
      <c r="AD283" s="226" t="str">
        <f t="shared" si="78"/>
        <v>9200-200</v>
      </c>
    </row>
    <row r="284" spans="2:30" ht="12.5">
      <c r="B284" s="336"/>
      <c r="C284" s="337"/>
      <c r="D284" s="302">
        <f>VLOOKUP(E284,'1.2-Jaarprijzen'!B:G,6,FALSE)</f>
        <v>1</v>
      </c>
      <c r="E284" s="522" t="s">
        <v>84</v>
      </c>
      <c r="F284" s="302" t="s">
        <v>272</v>
      </c>
      <c r="G284" s="525" t="s">
        <v>274</v>
      </c>
      <c r="H284" s="523" t="s">
        <v>280</v>
      </c>
      <c r="I284" s="303" t="str">
        <f t="shared" si="79"/>
        <v>entree, gang, hal, repro, kopieer, was/droogruimte</v>
      </c>
      <c r="J284" s="302" t="s">
        <v>221</v>
      </c>
      <c r="K284" s="304">
        <v>25.32</v>
      </c>
      <c r="L284" s="304"/>
      <c r="M284" s="305">
        <v>3200</v>
      </c>
      <c r="N284" s="302"/>
      <c r="O284" s="306">
        <f t="shared" si="72"/>
        <v>200</v>
      </c>
      <c r="P284" s="472">
        <v>1</v>
      </c>
      <c r="Q284" s="472">
        <v>1</v>
      </c>
      <c r="R284" s="300">
        <f t="shared" si="73"/>
        <v>9.5301399327508136</v>
      </c>
      <c r="S284" s="300">
        <f t="shared" si="74"/>
        <v>2.8745802514547294</v>
      </c>
      <c r="T284" s="300">
        <f t="shared" si="75"/>
        <v>0</v>
      </c>
      <c r="U284" s="307">
        <f t="shared" si="68"/>
        <v>0.37638783304703055</v>
      </c>
      <c r="V284" s="307">
        <f t="shared" si="69"/>
        <v>0.11353002572885977</v>
      </c>
      <c r="W284" s="307">
        <f t="shared" si="70"/>
        <v>0</v>
      </c>
      <c r="X284" s="308" t="str">
        <f t="shared" si="76"/>
        <v>V</v>
      </c>
      <c r="Y284" s="309"/>
      <c r="Z284" s="310">
        <f>(R284+S284+T284)*'1.0-Contractblad'!$L$37</f>
        <v>376.7024857937522</v>
      </c>
      <c r="AA284" s="310">
        <f ca="1">VLOOKUP(E284,'1.2-Jaarprijzen'!$B$51:$Q$88,16,FALSE)*K284</f>
        <v>0</v>
      </c>
      <c r="AC284" s="226">
        <f t="shared" si="77"/>
        <v>5064</v>
      </c>
      <c r="AD284" s="226" t="str">
        <f t="shared" si="78"/>
        <v>3200-200</v>
      </c>
    </row>
    <row r="285" spans="2:30" ht="12.5">
      <c r="B285" s="336"/>
      <c r="C285" s="337"/>
      <c r="D285" s="302">
        <f>VLOOKUP(E285,'1.2-Jaarprijzen'!B:G,6,FALSE)</f>
        <v>1</v>
      </c>
      <c r="E285" s="522" t="s">
        <v>84</v>
      </c>
      <c r="F285" s="302" t="s">
        <v>272</v>
      </c>
      <c r="G285" s="525" t="s">
        <v>276</v>
      </c>
      <c r="H285" s="523" t="s">
        <v>207</v>
      </c>
      <c r="I285" s="303" t="str">
        <f t="shared" si="79"/>
        <v>niet van toepassing</v>
      </c>
      <c r="J285" s="302" t="s">
        <v>221</v>
      </c>
      <c r="K285" s="304"/>
      <c r="L285" s="304">
        <v>1.48</v>
      </c>
      <c r="M285" s="305" t="s">
        <v>147</v>
      </c>
      <c r="N285" s="302"/>
      <c r="O285" s="306">
        <f t="shared" si="72"/>
        <v>0</v>
      </c>
      <c r="P285" s="472">
        <v>1</v>
      </c>
      <c r="Q285" s="472">
        <v>1</v>
      </c>
      <c r="R285" s="300">
        <f t="shared" si="73"/>
        <v>0</v>
      </c>
      <c r="S285" s="300">
        <f t="shared" si="74"/>
        <v>0</v>
      </c>
      <c r="T285" s="300">
        <f t="shared" si="75"/>
        <v>0</v>
      </c>
      <c r="U285" s="307">
        <f t="shared" si="68"/>
        <v>0</v>
      </c>
      <c r="V285" s="307">
        <f t="shared" si="69"/>
        <v>0</v>
      </c>
      <c r="W285" s="307">
        <f t="shared" si="70"/>
        <v>0</v>
      </c>
      <c r="X285" s="308">
        <f t="shared" si="76"/>
        <v>0</v>
      </c>
      <c r="Y285" s="309"/>
      <c r="Z285" s="310">
        <f>(R285+S285+T285)*'1.0-Contractblad'!$L$37</f>
        <v>0</v>
      </c>
      <c r="AA285" s="310">
        <f ca="1">VLOOKUP(E285,'1.2-Jaarprijzen'!$B$51:$Q$88,16,FALSE)*K285</f>
        <v>0</v>
      </c>
      <c r="AC285" s="226">
        <f t="shared" si="77"/>
        <v>0</v>
      </c>
      <c r="AD285" s="226" t="str">
        <f t="shared" si="78"/>
        <v>nvt-0</v>
      </c>
    </row>
    <row r="286" spans="2:30" ht="12.5">
      <c r="B286" s="336"/>
      <c r="C286" s="337"/>
      <c r="D286" s="302">
        <f>VLOOKUP(E286,'1.2-Jaarprijzen'!B:G,6,FALSE)</f>
        <v>1</v>
      </c>
      <c r="E286" s="522" t="s">
        <v>84</v>
      </c>
      <c r="F286" s="302" t="s">
        <v>272</v>
      </c>
      <c r="G286" s="525" t="s">
        <v>278</v>
      </c>
      <c r="H286" s="523" t="s">
        <v>136</v>
      </c>
      <c r="I286" s="303" t="str">
        <f t="shared" si="79"/>
        <v>lift</v>
      </c>
      <c r="J286" s="302" t="s">
        <v>221</v>
      </c>
      <c r="K286" s="304">
        <v>2.56</v>
      </c>
      <c r="L286" s="304"/>
      <c r="M286" s="305">
        <v>10040</v>
      </c>
      <c r="N286" s="302"/>
      <c r="O286" s="306">
        <f t="shared" si="72"/>
        <v>40</v>
      </c>
      <c r="P286" s="472">
        <v>1</v>
      </c>
      <c r="Q286" s="472">
        <v>1</v>
      </c>
      <c r="R286" s="300">
        <f t="shared" si="73"/>
        <v>0.6022205328752489</v>
      </c>
      <c r="S286" s="300">
        <f t="shared" si="74"/>
        <v>1.1782575643211393</v>
      </c>
      <c r="T286" s="300">
        <f t="shared" si="75"/>
        <v>0</v>
      </c>
      <c r="U286" s="307">
        <f t="shared" ref="U286:U349" si="80">IF($M286=0,0,VLOOKUP($M286,Kengetal,6,FALSE))</f>
        <v>0.23524239565439412</v>
      </c>
      <c r="V286" s="307">
        <f t="shared" ref="V286:V349" si="81">IF($M286=0,0,VLOOKUP($M286,Kengetal,7,FALSE))</f>
        <v>0.460256861062945</v>
      </c>
      <c r="W286" s="307">
        <f t="shared" ref="W286:W349" si="82">IF($N286=0,0,VLOOKUP($N286,Kengetal,6,FALSE))</f>
        <v>0</v>
      </c>
      <c r="X286" s="308" t="str">
        <f t="shared" si="76"/>
        <v>V</v>
      </c>
      <c r="Y286" s="309"/>
      <c r="Z286" s="310">
        <f>(R286+S286+T286)*'1.0-Contractblad'!$L$37</f>
        <v>54.068976579512018</v>
      </c>
      <c r="AA286" s="310">
        <f ca="1">VLOOKUP(E286,'1.2-Jaarprijzen'!$B$51:$Q$88,16,FALSE)*K286</f>
        <v>0</v>
      </c>
      <c r="AC286" s="226">
        <f t="shared" si="77"/>
        <v>102.4</v>
      </c>
      <c r="AD286" s="226" t="str">
        <f t="shared" si="78"/>
        <v>10040-40</v>
      </c>
    </row>
    <row r="287" spans="2:30" ht="12.5">
      <c r="B287" s="336"/>
      <c r="C287" s="337"/>
      <c r="D287" s="302">
        <f>VLOOKUP(E287,'1.2-Jaarprijzen'!B:G,6,FALSE)</f>
        <v>1</v>
      </c>
      <c r="E287" s="522" t="s">
        <v>84</v>
      </c>
      <c r="F287" s="302" t="s">
        <v>272</v>
      </c>
      <c r="G287" s="525" t="s">
        <v>279</v>
      </c>
      <c r="H287" s="523" t="s">
        <v>280</v>
      </c>
      <c r="I287" s="303" t="str">
        <f t="shared" si="79"/>
        <v>entree, gang, hal, repro, kopieer, was/droogruimte</v>
      </c>
      <c r="J287" s="302" t="s">
        <v>221</v>
      </c>
      <c r="K287" s="304">
        <v>17.77</v>
      </c>
      <c r="L287" s="304"/>
      <c r="M287" s="305">
        <v>3200</v>
      </c>
      <c r="N287" s="302"/>
      <c r="O287" s="306">
        <f t="shared" si="72"/>
        <v>200</v>
      </c>
      <c r="P287" s="472">
        <v>1</v>
      </c>
      <c r="Q287" s="472">
        <v>1</v>
      </c>
      <c r="R287" s="300">
        <f t="shared" si="73"/>
        <v>6.6884117932457325</v>
      </c>
      <c r="S287" s="300">
        <f t="shared" si="74"/>
        <v>2.0174285572018382</v>
      </c>
      <c r="T287" s="300">
        <f t="shared" si="75"/>
        <v>0</v>
      </c>
      <c r="U287" s="307">
        <f t="shared" si="80"/>
        <v>0.37638783304703055</v>
      </c>
      <c r="V287" s="307">
        <f t="shared" si="81"/>
        <v>0.11353002572885977</v>
      </c>
      <c r="W287" s="307">
        <f t="shared" si="82"/>
        <v>0</v>
      </c>
      <c r="X287" s="308" t="str">
        <f t="shared" si="76"/>
        <v>V</v>
      </c>
      <c r="Y287" s="309"/>
      <c r="Z287" s="310">
        <f>(R287+S287+T287)*'1.0-Contractblad'!$L$37</f>
        <v>264.37611266014915</v>
      </c>
      <c r="AA287" s="310">
        <f ca="1">VLOOKUP(E287,'1.2-Jaarprijzen'!$B$51:$Q$88,16,FALSE)*K287</f>
        <v>0</v>
      </c>
      <c r="AC287" s="226">
        <f t="shared" si="77"/>
        <v>3554</v>
      </c>
      <c r="AD287" s="226" t="str">
        <f t="shared" si="78"/>
        <v>3200-200</v>
      </c>
    </row>
    <row r="288" spans="2:30" ht="12.5">
      <c r="B288" s="336"/>
      <c r="C288" s="337"/>
      <c r="D288" s="302">
        <f>VLOOKUP(E288,'1.2-Jaarprijzen'!B:G,6,FALSE)</f>
        <v>1</v>
      </c>
      <c r="E288" s="522" t="s">
        <v>84</v>
      </c>
      <c r="F288" s="302" t="s">
        <v>272</v>
      </c>
      <c r="G288" s="525" t="s">
        <v>281</v>
      </c>
      <c r="H288" s="523" t="s">
        <v>252</v>
      </c>
      <c r="I288" s="303" t="str">
        <f t="shared" si="79"/>
        <v>administratieve -, personeels- en vergaderruimte</v>
      </c>
      <c r="J288" s="302" t="s">
        <v>221</v>
      </c>
      <c r="K288" s="304">
        <v>27.46</v>
      </c>
      <c r="L288" s="304"/>
      <c r="M288" s="305">
        <v>1080</v>
      </c>
      <c r="N288" s="302"/>
      <c r="O288" s="306">
        <f t="shared" si="72"/>
        <v>80</v>
      </c>
      <c r="P288" s="472">
        <v>1</v>
      </c>
      <c r="Q288" s="472">
        <v>1</v>
      </c>
      <c r="R288" s="300">
        <f t="shared" si="73"/>
        <v>5.7454769230769234</v>
      </c>
      <c r="S288" s="300">
        <f t="shared" si="74"/>
        <v>1.0139076923076924</v>
      </c>
      <c r="T288" s="300">
        <f t="shared" si="75"/>
        <v>0</v>
      </c>
      <c r="U288" s="307">
        <f t="shared" si="80"/>
        <v>0.20923076923076925</v>
      </c>
      <c r="V288" s="307">
        <f t="shared" si="81"/>
        <v>3.6923076923076927E-2</v>
      </c>
      <c r="W288" s="307">
        <f t="shared" si="82"/>
        <v>0</v>
      </c>
      <c r="X288" s="308" t="str">
        <f t="shared" si="76"/>
        <v>V</v>
      </c>
      <c r="Y288" s="309"/>
      <c r="Z288" s="310">
        <f>(R288+S288+T288)*'1.0-Contractblad'!$L$37</f>
        <v>205.26678145416841</v>
      </c>
      <c r="AA288" s="310">
        <f ca="1">VLOOKUP(E288,'1.2-Jaarprijzen'!$B$51:$Q$88,16,FALSE)*K288</f>
        <v>0</v>
      </c>
      <c r="AC288" s="226">
        <f t="shared" si="77"/>
        <v>2196.8000000000002</v>
      </c>
      <c r="AD288" s="226" t="str">
        <f t="shared" si="78"/>
        <v>1080-80</v>
      </c>
    </row>
    <row r="289" spans="2:30" ht="12.5">
      <c r="B289" s="336"/>
      <c r="C289" s="337"/>
      <c r="D289" s="302">
        <f>VLOOKUP(E289,'1.2-Jaarprijzen'!B:G,6,FALSE)</f>
        <v>1</v>
      </c>
      <c r="E289" s="522" t="s">
        <v>84</v>
      </c>
      <c r="F289" s="302" t="s">
        <v>272</v>
      </c>
      <c r="G289" s="525" t="s">
        <v>283</v>
      </c>
      <c r="H289" s="523" t="s">
        <v>207</v>
      </c>
      <c r="I289" s="303" t="str">
        <f t="shared" si="79"/>
        <v>niet van toepassing</v>
      </c>
      <c r="J289" s="302" t="s">
        <v>221</v>
      </c>
      <c r="K289" s="304"/>
      <c r="L289" s="304">
        <v>2.79</v>
      </c>
      <c r="M289" s="305" t="s">
        <v>147</v>
      </c>
      <c r="N289" s="302"/>
      <c r="O289" s="306">
        <f t="shared" si="72"/>
        <v>0</v>
      </c>
      <c r="P289" s="472">
        <v>1</v>
      </c>
      <c r="Q289" s="472">
        <v>1</v>
      </c>
      <c r="R289" s="300">
        <f t="shared" si="73"/>
        <v>0</v>
      </c>
      <c r="S289" s="300">
        <f t="shared" si="74"/>
        <v>0</v>
      </c>
      <c r="T289" s="300">
        <f t="shared" si="75"/>
        <v>0</v>
      </c>
      <c r="U289" s="307">
        <f t="shared" si="80"/>
        <v>0</v>
      </c>
      <c r="V289" s="307">
        <f t="shared" si="81"/>
        <v>0</v>
      </c>
      <c r="W289" s="307">
        <f t="shared" si="82"/>
        <v>0</v>
      </c>
      <c r="X289" s="308">
        <f t="shared" si="76"/>
        <v>0</v>
      </c>
      <c r="Y289" s="309"/>
      <c r="Z289" s="310">
        <f>(R289+S289+T289)*'1.0-Contractblad'!$L$37</f>
        <v>0</v>
      </c>
      <c r="AA289" s="310">
        <f ca="1">VLOOKUP(E289,'1.2-Jaarprijzen'!$B$51:$Q$88,16,FALSE)*K289</f>
        <v>0</v>
      </c>
      <c r="AC289" s="226">
        <f t="shared" si="77"/>
        <v>0</v>
      </c>
      <c r="AD289" s="226" t="str">
        <f t="shared" si="78"/>
        <v>nvt-0</v>
      </c>
    </row>
    <row r="290" spans="2:30" ht="12.5">
      <c r="B290" s="336"/>
      <c r="C290" s="337"/>
      <c r="D290" s="302">
        <f>VLOOKUP(E290,'1.2-Jaarprijzen'!B:G,6,FALSE)</f>
        <v>1</v>
      </c>
      <c r="E290" s="522" t="s">
        <v>84</v>
      </c>
      <c r="F290" s="302" t="s">
        <v>272</v>
      </c>
      <c r="G290" s="525" t="s">
        <v>285</v>
      </c>
      <c r="H290" s="523" t="s">
        <v>252</v>
      </c>
      <c r="I290" s="303" t="str">
        <f t="shared" si="79"/>
        <v>administratieve -, personeels- en vergaderruimte</v>
      </c>
      <c r="J290" s="302" t="s">
        <v>221</v>
      </c>
      <c r="K290" s="304">
        <v>18.46</v>
      </c>
      <c r="L290" s="304"/>
      <c r="M290" s="305">
        <v>1080</v>
      </c>
      <c r="N290" s="302"/>
      <c r="O290" s="306">
        <f t="shared" si="72"/>
        <v>80</v>
      </c>
      <c r="P290" s="472">
        <v>1</v>
      </c>
      <c r="Q290" s="472">
        <v>1</v>
      </c>
      <c r="R290" s="300">
        <f t="shared" si="73"/>
        <v>3.8624000000000005</v>
      </c>
      <c r="S290" s="300">
        <f t="shared" si="74"/>
        <v>0.68160000000000009</v>
      </c>
      <c r="T290" s="300">
        <f t="shared" si="75"/>
        <v>0</v>
      </c>
      <c r="U290" s="307">
        <f t="shared" si="80"/>
        <v>0.20923076923076925</v>
      </c>
      <c r="V290" s="307">
        <f t="shared" si="81"/>
        <v>3.6923076923076927E-2</v>
      </c>
      <c r="W290" s="307">
        <f t="shared" si="82"/>
        <v>0</v>
      </c>
      <c r="X290" s="308" t="str">
        <f t="shared" si="76"/>
        <v>V</v>
      </c>
      <c r="Y290" s="309"/>
      <c r="Z290" s="310">
        <f>(R290+S290+T290)*'1.0-Contractblad'!$L$37</f>
        <v>137.9907059593572</v>
      </c>
      <c r="AA290" s="310">
        <f ca="1">VLOOKUP(E290,'1.2-Jaarprijzen'!$B$51:$Q$88,16,FALSE)*K290</f>
        <v>0</v>
      </c>
      <c r="AC290" s="226">
        <f t="shared" si="77"/>
        <v>1476.8000000000002</v>
      </c>
      <c r="AD290" s="226" t="str">
        <f t="shared" si="78"/>
        <v>1080-80</v>
      </c>
    </row>
    <row r="291" spans="2:30" ht="12.5">
      <c r="B291" s="336"/>
      <c r="C291" s="337"/>
      <c r="D291" s="302">
        <f>VLOOKUP(E291,'1.2-Jaarprijzen'!B:G,6,FALSE)</f>
        <v>1</v>
      </c>
      <c r="E291" s="522" t="s">
        <v>84</v>
      </c>
      <c r="F291" s="302" t="s">
        <v>272</v>
      </c>
      <c r="G291" s="525" t="s">
        <v>366</v>
      </c>
      <c r="H291" s="523" t="s">
        <v>252</v>
      </c>
      <c r="I291" s="303" t="str">
        <f t="shared" si="79"/>
        <v>administratieve -, personeels- en vergaderruimte</v>
      </c>
      <c r="J291" s="302" t="s">
        <v>221</v>
      </c>
      <c r="K291" s="304">
        <v>15.7</v>
      </c>
      <c r="L291" s="304"/>
      <c r="M291" s="305">
        <v>1080</v>
      </c>
      <c r="N291" s="302"/>
      <c r="O291" s="306">
        <f t="shared" si="72"/>
        <v>80</v>
      </c>
      <c r="P291" s="472">
        <v>1</v>
      </c>
      <c r="Q291" s="472">
        <v>1</v>
      </c>
      <c r="R291" s="300">
        <f t="shared" si="73"/>
        <v>3.2849230769230768</v>
      </c>
      <c r="S291" s="300">
        <f t="shared" si="74"/>
        <v>0.57969230769230773</v>
      </c>
      <c r="T291" s="300">
        <f t="shared" si="75"/>
        <v>0</v>
      </c>
      <c r="U291" s="307">
        <f t="shared" si="80"/>
        <v>0.20923076923076925</v>
      </c>
      <c r="V291" s="307">
        <f t="shared" si="81"/>
        <v>3.6923076923076927E-2</v>
      </c>
      <c r="W291" s="307">
        <f t="shared" si="82"/>
        <v>0</v>
      </c>
      <c r="X291" s="308" t="str">
        <f t="shared" si="76"/>
        <v>V</v>
      </c>
      <c r="Y291" s="309"/>
      <c r="Z291" s="310">
        <f>(R291+S291+T291)*'1.0-Contractblad'!$L$37</f>
        <v>117.35937614094841</v>
      </c>
      <c r="AA291" s="310">
        <f ca="1">VLOOKUP(E291,'1.2-Jaarprijzen'!$B$51:$Q$88,16,FALSE)*K291</f>
        <v>0</v>
      </c>
      <c r="AC291" s="226">
        <f t="shared" si="77"/>
        <v>1256</v>
      </c>
      <c r="AD291" s="226" t="str">
        <f t="shared" si="78"/>
        <v>1080-80</v>
      </c>
    </row>
    <row r="292" spans="2:30" ht="12.5">
      <c r="B292" s="336"/>
      <c r="C292" s="337"/>
      <c r="D292" s="302">
        <f>VLOOKUP(E292,'1.2-Jaarprijzen'!B:G,6,FALSE)</f>
        <v>1</v>
      </c>
      <c r="E292" s="522" t="s">
        <v>84</v>
      </c>
      <c r="F292" s="302" t="s">
        <v>272</v>
      </c>
      <c r="G292" s="525" t="s">
        <v>286</v>
      </c>
      <c r="H292" s="523" t="s">
        <v>252</v>
      </c>
      <c r="I292" s="303" t="str">
        <f t="shared" si="79"/>
        <v>administratieve -, personeels- en vergaderruimte</v>
      </c>
      <c r="J292" s="302" t="s">
        <v>221</v>
      </c>
      <c r="K292" s="304">
        <v>35.47</v>
      </c>
      <c r="L292" s="304"/>
      <c r="M292" s="305">
        <v>1080</v>
      </c>
      <c r="N292" s="302"/>
      <c r="O292" s="306">
        <f t="shared" si="72"/>
        <v>80</v>
      </c>
      <c r="P292" s="472">
        <v>1</v>
      </c>
      <c r="Q292" s="472">
        <v>1</v>
      </c>
      <c r="R292" s="300">
        <f t="shared" si="73"/>
        <v>7.4214153846153854</v>
      </c>
      <c r="S292" s="300">
        <f t="shared" si="74"/>
        <v>1.3096615384615384</v>
      </c>
      <c r="T292" s="300">
        <f t="shared" si="75"/>
        <v>0</v>
      </c>
      <c r="U292" s="307">
        <f t="shared" si="80"/>
        <v>0.20923076923076925</v>
      </c>
      <c r="V292" s="307">
        <f t="shared" si="81"/>
        <v>3.6923076923076927E-2</v>
      </c>
      <c r="W292" s="307">
        <f t="shared" si="82"/>
        <v>0</v>
      </c>
      <c r="X292" s="308" t="str">
        <f t="shared" si="76"/>
        <v>V</v>
      </c>
      <c r="Y292" s="309"/>
      <c r="Z292" s="310">
        <f>(R292+S292+T292)*'1.0-Contractblad'!$L$37</f>
        <v>265.14248864455033</v>
      </c>
      <c r="AA292" s="310">
        <f ca="1">VLOOKUP(E292,'1.2-Jaarprijzen'!$B$51:$Q$88,16,FALSE)*K292</f>
        <v>0</v>
      </c>
      <c r="AC292" s="226">
        <f t="shared" si="77"/>
        <v>2837.6</v>
      </c>
      <c r="AD292" s="226" t="str">
        <f t="shared" si="78"/>
        <v>1080-80</v>
      </c>
    </row>
    <row r="293" spans="2:30" ht="12.5">
      <c r="B293" s="336"/>
      <c r="C293" s="337"/>
      <c r="D293" s="302">
        <f>VLOOKUP(E293,'1.2-Jaarprijzen'!B:G,6,FALSE)</f>
        <v>1</v>
      </c>
      <c r="E293" s="522" t="s">
        <v>84</v>
      </c>
      <c r="F293" s="302" t="s">
        <v>272</v>
      </c>
      <c r="G293" s="525" t="s">
        <v>288</v>
      </c>
      <c r="H293" s="523" t="s">
        <v>280</v>
      </c>
      <c r="I293" s="303" t="str">
        <f t="shared" si="79"/>
        <v>entree, gang, hal, repro, kopieer, was/droogruimte</v>
      </c>
      <c r="J293" s="302" t="s">
        <v>221</v>
      </c>
      <c r="K293" s="304">
        <v>178.46</v>
      </c>
      <c r="L293" s="304"/>
      <c r="M293" s="305">
        <v>3200</v>
      </c>
      <c r="N293" s="302"/>
      <c r="O293" s="306">
        <f t="shared" si="72"/>
        <v>200</v>
      </c>
      <c r="P293" s="472">
        <v>1</v>
      </c>
      <c r="Q293" s="472">
        <v>1</v>
      </c>
      <c r="R293" s="300">
        <f t="shared" si="73"/>
        <v>67.170172685573078</v>
      </c>
      <c r="S293" s="300">
        <f t="shared" si="74"/>
        <v>20.260568391572317</v>
      </c>
      <c r="T293" s="300">
        <f t="shared" si="75"/>
        <v>0</v>
      </c>
      <c r="U293" s="307">
        <f t="shared" si="80"/>
        <v>0.37638783304703055</v>
      </c>
      <c r="V293" s="307">
        <f t="shared" si="81"/>
        <v>0.11353002572885977</v>
      </c>
      <c r="W293" s="307">
        <f t="shared" si="82"/>
        <v>0</v>
      </c>
      <c r="X293" s="308" t="str">
        <f t="shared" si="76"/>
        <v>V</v>
      </c>
      <c r="Y293" s="309"/>
      <c r="Z293" s="310">
        <f>(R293+S293+T293)*'1.0-Contractblad'!$L$37</f>
        <v>2655.0681522414311</v>
      </c>
      <c r="AA293" s="310">
        <f ca="1">VLOOKUP(E293,'1.2-Jaarprijzen'!$B$51:$Q$88,16,FALSE)*K293</f>
        <v>0</v>
      </c>
      <c r="AC293" s="226">
        <f t="shared" si="77"/>
        <v>35692</v>
      </c>
      <c r="AD293" s="226" t="str">
        <f t="shared" si="78"/>
        <v>3200-200</v>
      </c>
    </row>
    <row r="294" spans="2:30" ht="12.5">
      <c r="B294" s="336"/>
      <c r="C294" s="337"/>
      <c r="D294" s="302">
        <f>VLOOKUP(E294,'1.2-Jaarprijzen'!B:G,6,FALSE)</f>
        <v>1</v>
      </c>
      <c r="E294" s="522" t="s">
        <v>84</v>
      </c>
      <c r="F294" s="302" t="s">
        <v>272</v>
      </c>
      <c r="G294" s="525" t="s">
        <v>290</v>
      </c>
      <c r="H294" s="523" t="s">
        <v>464</v>
      </c>
      <c r="I294" s="303" t="str">
        <f t="shared" si="79"/>
        <v>entree, gang, hal, repro, kopieer, was/droogruimte</v>
      </c>
      <c r="J294" s="302" t="s">
        <v>221</v>
      </c>
      <c r="K294" s="304">
        <v>10.43</v>
      </c>
      <c r="L294" s="304"/>
      <c r="M294" s="305">
        <v>3200</v>
      </c>
      <c r="N294" s="302"/>
      <c r="O294" s="306">
        <f t="shared" si="72"/>
        <v>200</v>
      </c>
      <c r="P294" s="472">
        <v>1</v>
      </c>
      <c r="Q294" s="472">
        <v>1</v>
      </c>
      <c r="R294" s="300">
        <f t="shared" si="73"/>
        <v>3.9257250986805285</v>
      </c>
      <c r="S294" s="300">
        <f t="shared" si="74"/>
        <v>1.1841181683520074</v>
      </c>
      <c r="T294" s="300">
        <f t="shared" si="75"/>
        <v>0</v>
      </c>
      <c r="U294" s="307">
        <f t="shared" si="80"/>
        <v>0.37638783304703055</v>
      </c>
      <c r="V294" s="307">
        <f t="shared" si="81"/>
        <v>0.11353002572885977</v>
      </c>
      <c r="W294" s="307">
        <f t="shared" si="82"/>
        <v>0</v>
      </c>
      <c r="X294" s="308" t="str">
        <f t="shared" si="76"/>
        <v>V</v>
      </c>
      <c r="Y294" s="309"/>
      <c r="Z294" s="310">
        <f>(R294+S294+T294)*'1.0-Contractblad'!$L$37</f>
        <v>155.17404924284503</v>
      </c>
      <c r="AA294" s="310">
        <f ca="1">VLOOKUP(E294,'1.2-Jaarprijzen'!$B$51:$Q$88,16,FALSE)*K294</f>
        <v>0</v>
      </c>
      <c r="AC294" s="226">
        <f t="shared" si="77"/>
        <v>2086</v>
      </c>
      <c r="AD294" s="226" t="str">
        <f t="shared" si="78"/>
        <v>3200-200</v>
      </c>
    </row>
    <row r="295" spans="2:30" ht="12.5">
      <c r="B295" s="336"/>
      <c r="C295" s="337"/>
      <c r="D295" s="302">
        <f>VLOOKUP(E295,'1.2-Jaarprijzen'!B:G,6,FALSE)</f>
        <v>1</v>
      </c>
      <c r="E295" s="522" t="s">
        <v>84</v>
      </c>
      <c r="F295" s="302" t="s">
        <v>272</v>
      </c>
      <c r="G295" s="525" t="s">
        <v>465</v>
      </c>
      <c r="H295" s="523" t="s">
        <v>362</v>
      </c>
      <c r="I295" s="303" t="str">
        <f t="shared" si="79"/>
        <v>trappenhuis</v>
      </c>
      <c r="J295" s="302" t="s">
        <v>435</v>
      </c>
      <c r="K295" s="304">
        <v>3.5999999999999996</v>
      </c>
      <c r="L295" s="304"/>
      <c r="M295" s="305">
        <v>9200</v>
      </c>
      <c r="N295" s="302"/>
      <c r="O295" s="306">
        <f t="shared" ref="O295:O358" si="83">VLOOKUP(M295,Kengetal,3,FALSE)+VLOOKUP(N295,Kengetal,3,FALSE)</f>
        <v>200</v>
      </c>
      <c r="P295" s="472">
        <v>1</v>
      </c>
      <c r="Q295" s="472">
        <v>1</v>
      </c>
      <c r="R295" s="300">
        <f t="shared" ref="R295:R358" si="84">U295*K295*P295</f>
        <v>2.5406178730674558</v>
      </c>
      <c r="S295" s="300">
        <f t="shared" ref="S295:S358" si="85">V295*K295*Q295</f>
        <v>0.15832836020565305</v>
      </c>
      <c r="T295" s="300">
        <f t="shared" ref="T295:T358" si="86">W295*K295*P295</f>
        <v>0</v>
      </c>
      <c r="U295" s="307">
        <f t="shared" si="80"/>
        <v>0.70572718696318226</v>
      </c>
      <c r="V295" s="307">
        <f t="shared" si="81"/>
        <v>4.3980100057125854E-2</v>
      </c>
      <c r="W295" s="307">
        <f t="shared" si="82"/>
        <v>0</v>
      </c>
      <c r="X295" s="308" t="str">
        <f t="shared" ref="X295:X358" si="87">IF(M295="","",VLOOKUP(M295,Kengetal,13,FALSE))</f>
        <v>V</v>
      </c>
      <c r="Y295" s="309"/>
      <c r="Z295" s="310">
        <f>(R295+S295+T295)*'1.0-Contractblad'!$L$37</f>
        <v>81.96071656595602</v>
      </c>
      <c r="AA295" s="310">
        <f ca="1">VLOOKUP(E295,'1.2-Jaarprijzen'!$B$51:$Q$88,16,FALSE)*K295</f>
        <v>0</v>
      </c>
      <c r="AC295" s="226">
        <f t="shared" si="77"/>
        <v>719.99999999999989</v>
      </c>
      <c r="AD295" s="226" t="str">
        <f t="shared" si="78"/>
        <v>9200-200</v>
      </c>
    </row>
    <row r="296" spans="2:30" ht="12.5">
      <c r="B296" s="336"/>
      <c r="C296" s="337"/>
      <c r="D296" s="302">
        <f>VLOOKUP(E296,'1.2-Jaarprijzen'!B:G,6,FALSE)</f>
        <v>1</v>
      </c>
      <c r="E296" s="522" t="s">
        <v>84</v>
      </c>
      <c r="F296" s="302" t="s">
        <v>272</v>
      </c>
      <c r="G296" s="525" t="s">
        <v>291</v>
      </c>
      <c r="H296" s="523" t="s">
        <v>207</v>
      </c>
      <c r="I296" s="303" t="str">
        <f t="shared" si="79"/>
        <v>niet van toepassing</v>
      </c>
      <c r="J296" s="302" t="s">
        <v>221</v>
      </c>
      <c r="K296" s="304"/>
      <c r="L296" s="304">
        <v>6.68</v>
      </c>
      <c r="M296" s="305" t="s">
        <v>147</v>
      </c>
      <c r="N296" s="302"/>
      <c r="O296" s="306">
        <f t="shared" si="83"/>
        <v>0</v>
      </c>
      <c r="P296" s="472">
        <v>1</v>
      </c>
      <c r="Q296" s="472">
        <v>1</v>
      </c>
      <c r="R296" s="300">
        <f t="shared" si="84"/>
        <v>0</v>
      </c>
      <c r="S296" s="300">
        <f t="shared" si="85"/>
        <v>0</v>
      </c>
      <c r="T296" s="300">
        <f t="shared" si="86"/>
        <v>0</v>
      </c>
      <c r="U296" s="307">
        <f t="shared" si="80"/>
        <v>0</v>
      </c>
      <c r="V296" s="307">
        <f t="shared" si="81"/>
        <v>0</v>
      </c>
      <c r="W296" s="307">
        <f t="shared" si="82"/>
        <v>0</v>
      </c>
      <c r="X296" s="308">
        <f t="shared" si="87"/>
        <v>0</v>
      </c>
      <c r="Y296" s="309"/>
      <c r="Z296" s="310">
        <f>(R296+S296+T296)*'1.0-Contractblad'!$L$37</f>
        <v>0</v>
      </c>
      <c r="AA296" s="310">
        <f ca="1">VLOOKUP(E296,'1.2-Jaarprijzen'!$B$51:$Q$88,16,FALSE)*K296</f>
        <v>0</v>
      </c>
      <c r="AC296" s="226">
        <f t="shared" si="77"/>
        <v>0</v>
      </c>
      <c r="AD296" s="226" t="str">
        <f t="shared" si="78"/>
        <v>nvt-0</v>
      </c>
    </row>
    <row r="297" spans="2:30" ht="12.5">
      <c r="B297" s="336"/>
      <c r="C297" s="337"/>
      <c r="D297" s="302">
        <f>VLOOKUP(E297,'1.2-Jaarprijzen'!B:G,6,FALSE)</f>
        <v>1</v>
      </c>
      <c r="E297" s="522" t="s">
        <v>84</v>
      </c>
      <c r="F297" s="302" t="s">
        <v>272</v>
      </c>
      <c r="G297" s="525" t="s">
        <v>293</v>
      </c>
      <c r="H297" s="523" t="s">
        <v>220</v>
      </c>
      <c r="I297" s="303" t="str">
        <f t="shared" si="79"/>
        <v>sanitaire ruimte (toilet-/doucheruimte)</v>
      </c>
      <c r="J297" s="302" t="s">
        <v>221</v>
      </c>
      <c r="K297" s="304">
        <v>2.6</v>
      </c>
      <c r="L297" s="304"/>
      <c r="M297" s="305">
        <v>4200</v>
      </c>
      <c r="N297" s="302"/>
      <c r="O297" s="306">
        <f t="shared" si="83"/>
        <v>200</v>
      </c>
      <c r="P297" s="472">
        <v>1</v>
      </c>
      <c r="Q297" s="472">
        <v>1</v>
      </c>
      <c r="R297" s="300">
        <f t="shared" si="84"/>
        <v>6.9683115245152134</v>
      </c>
      <c r="S297" s="300">
        <f t="shared" si="85"/>
        <v>1.2297020337379789</v>
      </c>
      <c r="T297" s="300">
        <f t="shared" si="86"/>
        <v>0</v>
      </c>
      <c r="U297" s="307">
        <f t="shared" si="80"/>
        <v>2.6801198171212359</v>
      </c>
      <c r="V297" s="307">
        <f t="shared" si="81"/>
        <v>0.4729623206684534</v>
      </c>
      <c r="W297" s="307">
        <f t="shared" si="82"/>
        <v>0</v>
      </c>
      <c r="X297" s="308" t="str">
        <f t="shared" si="87"/>
        <v>S</v>
      </c>
      <c r="Y297" s="309"/>
      <c r="Z297" s="310">
        <f>(R297+S297+T297)*'1.0-Contractblad'!$L$37</f>
        <v>248.95459471121035</v>
      </c>
      <c r="AA297" s="310">
        <f ca="1">VLOOKUP(E297,'1.2-Jaarprijzen'!$B$51:$Q$88,16,FALSE)*K297</f>
        <v>0</v>
      </c>
      <c r="AC297" s="226">
        <f t="shared" si="77"/>
        <v>520</v>
      </c>
      <c r="AD297" s="226" t="str">
        <f t="shared" si="78"/>
        <v>4200-200</v>
      </c>
    </row>
    <row r="298" spans="2:30" ht="12.5">
      <c r="B298" s="336"/>
      <c r="C298" s="337"/>
      <c r="D298" s="302">
        <f>VLOOKUP(E298,'1.2-Jaarprijzen'!B:G,6,FALSE)</f>
        <v>1</v>
      </c>
      <c r="E298" s="522" t="s">
        <v>84</v>
      </c>
      <c r="F298" s="302" t="s">
        <v>272</v>
      </c>
      <c r="G298" s="525" t="s">
        <v>294</v>
      </c>
      <c r="H298" s="523" t="s">
        <v>466</v>
      </c>
      <c r="I298" s="303" t="str">
        <f t="shared" si="79"/>
        <v>leslokaal/leerplein</v>
      </c>
      <c r="J298" s="302" t="s">
        <v>221</v>
      </c>
      <c r="K298" s="304">
        <v>209.39</v>
      </c>
      <c r="L298" s="304"/>
      <c r="M298" s="305">
        <v>7200</v>
      </c>
      <c r="N298" s="302"/>
      <c r="O298" s="306">
        <f t="shared" si="83"/>
        <v>200</v>
      </c>
      <c r="P298" s="472">
        <v>1</v>
      </c>
      <c r="Q298" s="472">
        <v>1</v>
      </c>
      <c r="R298" s="300">
        <f t="shared" si="84"/>
        <v>109.52707692307692</v>
      </c>
      <c r="S298" s="300">
        <f t="shared" si="85"/>
        <v>19.328307692307693</v>
      </c>
      <c r="T298" s="300">
        <f t="shared" si="86"/>
        <v>0</v>
      </c>
      <c r="U298" s="307">
        <f t="shared" si="80"/>
        <v>0.52307692307692311</v>
      </c>
      <c r="V298" s="307">
        <f t="shared" si="81"/>
        <v>9.2307692307692313E-2</v>
      </c>
      <c r="W298" s="307">
        <f t="shared" si="82"/>
        <v>0</v>
      </c>
      <c r="X298" s="308" t="str">
        <f t="shared" si="87"/>
        <v>L</v>
      </c>
      <c r="Y298" s="309"/>
      <c r="Z298" s="310">
        <f>(R298+S298+T298)*'1.0-Contractblad'!$L$37</f>
        <v>3913.0381799606989</v>
      </c>
      <c r="AA298" s="310">
        <f ca="1">VLOOKUP(E298,'1.2-Jaarprijzen'!$B$51:$Q$88,16,FALSE)*K298</f>
        <v>0</v>
      </c>
      <c r="AC298" s="226">
        <f t="shared" ref="AC298:AC361" si="88">K298*O298</f>
        <v>41878</v>
      </c>
      <c r="AD298" s="226" t="str">
        <f t="shared" ref="AD298:AD361" si="89">CONCATENATE(M298,"-",O298)</f>
        <v>7200-200</v>
      </c>
    </row>
    <row r="299" spans="2:30" ht="12.5">
      <c r="B299" s="336"/>
      <c r="C299" s="337"/>
      <c r="D299" s="302">
        <f>VLOOKUP(E299,'1.2-Jaarprijzen'!B:G,6,FALSE)</f>
        <v>1</v>
      </c>
      <c r="E299" s="522" t="s">
        <v>84</v>
      </c>
      <c r="F299" s="302" t="s">
        <v>272</v>
      </c>
      <c r="G299" s="525" t="s">
        <v>296</v>
      </c>
      <c r="H299" s="523" t="s">
        <v>207</v>
      </c>
      <c r="I299" s="303" t="str">
        <f t="shared" si="79"/>
        <v>niet van toepassing</v>
      </c>
      <c r="J299" s="302" t="s">
        <v>221</v>
      </c>
      <c r="K299" s="304"/>
      <c r="L299" s="304">
        <v>2.2999999999999998</v>
      </c>
      <c r="M299" s="305" t="s">
        <v>147</v>
      </c>
      <c r="N299" s="302"/>
      <c r="O299" s="306">
        <f t="shared" si="83"/>
        <v>0</v>
      </c>
      <c r="P299" s="472">
        <v>1</v>
      </c>
      <c r="Q299" s="472">
        <v>1</v>
      </c>
      <c r="R299" s="300">
        <f t="shared" si="84"/>
        <v>0</v>
      </c>
      <c r="S299" s="300">
        <f t="shared" si="85"/>
        <v>0</v>
      </c>
      <c r="T299" s="300">
        <f t="shared" si="86"/>
        <v>0</v>
      </c>
      <c r="U299" s="307">
        <f t="shared" si="80"/>
        <v>0</v>
      </c>
      <c r="V299" s="307">
        <f t="shared" si="81"/>
        <v>0</v>
      </c>
      <c r="W299" s="307">
        <f t="shared" si="82"/>
        <v>0</v>
      </c>
      <c r="X299" s="308">
        <f t="shared" si="87"/>
        <v>0</v>
      </c>
      <c r="Y299" s="309"/>
      <c r="Z299" s="310">
        <f>(R299+S299+T299)*'1.0-Contractblad'!$L$37</f>
        <v>0</v>
      </c>
      <c r="AA299" s="310">
        <f ca="1">VLOOKUP(E299,'1.2-Jaarprijzen'!$B$51:$Q$88,16,FALSE)*K299</f>
        <v>0</v>
      </c>
      <c r="AC299" s="226">
        <f t="shared" si="88"/>
        <v>0</v>
      </c>
      <c r="AD299" s="226" t="str">
        <f t="shared" si="89"/>
        <v>nvt-0</v>
      </c>
    </row>
    <row r="300" spans="2:30" ht="12.5">
      <c r="B300" s="336"/>
      <c r="C300" s="337"/>
      <c r="D300" s="302">
        <f>VLOOKUP(E300,'1.2-Jaarprijzen'!B:G,6,FALSE)</f>
        <v>1</v>
      </c>
      <c r="E300" s="522" t="s">
        <v>84</v>
      </c>
      <c r="F300" s="302" t="s">
        <v>272</v>
      </c>
      <c r="G300" s="525" t="s">
        <v>298</v>
      </c>
      <c r="H300" s="523" t="s">
        <v>432</v>
      </c>
      <c r="I300" s="303" t="str">
        <f t="shared" si="79"/>
        <v>niet van toepassing</v>
      </c>
      <c r="J300" s="302" t="s">
        <v>221</v>
      </c>
      <c r="K300" s="304"/>
      <c r="L300" s="304">
        <v>1.96</v>
      </c>
      <c r="M300" s="305" t="s">
        <v>147</v>
      </c>
      <c r="N300" s="302"/>
      <c r="O300" s="306">
        <f t="shared" si="83"/>
        <v>0</v>
      </c>
      <c r="P300" s="472">
        <v>1</v>
      </c>
      <c r="Q300" s="472">
        <v>1</v>
      </c>
      <c r="R300" s="300">
        <f t="shared" si="84"/>
        <v>0</v>
      </c>
      <c r="S300" s="300">
        <f t="shared" si="85"/>
        <v>0</v>
      </c>
      <c r="T300" s="300">
        <f t="shared" si="86"/>
        <v>0</v>
      </c>
      <c r="U300" s="307">
        <f t="shared" si="80"/>
        <v>0</v>
      </c>
      <c r="V300" s="307">
        <f t="shared" si="81"/>
        <v>0</v>
      </c>
      <c r="W300" s="307">
        <f t="shared" si="82"/>
        <v>0</v>
      </c>
      <c r="X300" s="308">
        <f t="shared" si="87"/>
        <v>0</v>
      </c>
      <c r="Y300" s="309"/>
      <c r="Z300" s="310">
        <f>(R300+S300+T300)*'1.0-Contractblad'!$L$37</f>
        <v>0</v>
      </c>
      <c r="AA300" s="310">
        <f ca="1">VLOOKUP(E300,'1.2-Jaarprijzen'!$B$51:$Q$88,16,FALSE)*K300</f>
        <v>0</v>
      </c>
      <c r="AC300" s="226">
        <f t="shared" si="88"/>
        <v>0</v>
      </c>
      <c r="AD300" s="226" t="str">
        <f t="shared" si="89"/>
        <v>nvt-0</v>
      </c>
    </row>
    <row r="301" spans="2:30" ht="12.5">
      <c r="B301" s="336"/>
      <c r="C301" s="337"/>
      <c r="D301" s="302">
        <f>VLOOKUP(E301,'1.2-Jaarprijzen'!B:G,6,FALSE)</f>
        <v>1</v>
      </c>
      <c r="E301" s="522" t="s">
        <v>84</v>
      </c>
      <c r="F301" s="302" t="s">
        <v>272</v>
      </c>
      <c r="G301" s="525" t="s">
        <v>467</v>
      </c>
      <c r="H301" s="523" t="s">
        <v>362</v>
      </c>
      <c r="I301" s="303" t="str">
        <f t="shared" si="79"/>
        <v>trappenhuis</v>
      </c>
      <c r="J301" s="302" t="s">
        <v>435</v>
      </c>
      <c r="K301" s="304">
        <v>3.5999999999999996</v>
      </c>
      <c r="L301" s="304"/>
      <c r="M301" s="305">
        <v>9200</v>
      </c>
      <c r="N301" s="302"/>
      <c r="O301" s="306">
        <f t="shared" si="83"/>
        <v>200</v>
      </c>
      <c r="P301" s="472">
        <v>1</v>
      </c>
      <c r="Q301" s="472">
        <v>1</v>
      </c>
      <c r="R301" s="300">
        <f t="shared" si="84"/>
        <v>2.5406178730674558</v>
      </c>
      <c r="S301" s="300">
        <f t="shared" si="85"/>
        <v>0.15832836020565305</v>
      </c>
      <c r="T301" s="300">
        <f t="shared" si="86"/>
        <v>0</v>
      </c>
      <c r="U301" s="307">
        <f t="shared" si="80"/>
        <v>0.70572718696318226</v>
      </c>
      <c r="V301" s="307">
        <f t="shared" si="81"/>
        <v>4.3980100057125854E-2</v>
      </c>
      <c r="W301" s="307">
        <f t="shared" si="82"/>
        <v>0</v>
      </c>
      <c r="X301" s="308" t="str">
        <f t="shared" si="87"/>
        <v>V</v>
      </c>
      <c r="Y301" s="309"/>
      <c r="Z301" s="310">
        <f>(R301+S301+T301)*'1.0-Contractblad'!$L$37</f>
        <v>81.96071656595602</v>
      </c>
      <c r="AA301" s="310">
        <f ca="1">VLOOKUP(E301,'1.2-Jaarprijzen'!$B$51:$Q$88,16,FALSE)*K301</f>
        <v>0</v>
      </c>
      <c r="AC301" s="226">
        <f t="shared" si="88"/>
        <v>719.99999999999989</v>
      </c>
      <c r="AD301" s="226" t="str">
        <f t="shared" si="89"/>
        <v>9200-200</v>
      </c>
    </row>
    <row r="302" spans="2:30" ht="12.5">
      <c r="B302" s="336"/>
      <c r="C302" s="337"/>
      <c r="D302" s="302">
        <f>VLOOKUP(E302,'1.2-Jaarprijzen'!B:G,6,FALSE)</f>
        <v>1</v>
      </c>
      <c r="E302" s="522" t="s">
        <v>84</v>
      </c>
      <c r="F302" s="302" t="s">
        <v>272</v>
      </c>
      <c r="G302" s="525" t="s">
        <v>299</v>
      </c>
      <c r="H302" s="523" t="s">
        <v>437</v>
      </c>
      <c r="I302" s="303" t="str">
        <f t="shared" si="79"/>
        <v>leslokaal/leerplein</v>
      </c>
      <c r="J302" s="302" t="s">
        <v>221</v>
      </c>
      <c r="K302" s="304">
        <v>50.69</v>
      </c>
      <c r="L302" s="304"/>
      <c r="M302" s="305">
        <v>7200</v>
      </c>
      <c r="N302" s="302"/>
      <c r="O302" s="306">
        <f t="shared" si="83"/>
        <v>200</v>
      </c>
      <c r="P302" s="472">
        <v>1</v>
      </c>
      <c r="Q302" s="472">
        <v>1</v>
      </c>
      <c r="R302" s="300">
        <f t="shared" si="84"/>
        <v>26.514769230769232</v>
      </c>
      <c r="S302" s="300">
        <f t="shared" si="85"/>
        <v>4.6790769230769227</v>
      </c>
      <c r="T302" s="300">
        <f t="shared" si="86"/>
        <v>0</v>
      </c>
      <c r="U302" s="307">
        <f t="shared" si="80"/>
        <v>0.52307692307692311</v>
      </c>
      <c r="V302" s="307">
        <f t="shared" si="81"/>
        <v>9.2307692307692313E-2</v>
      </c>
      <c r="W302" s="307">
        <f t="shared" si="82"/>
        <v>0</v>
      </c>
      <c r="X302" s="308" t="str">
        <f t="shared" si="87"/>
        <v>L</v>
      </c>
      <c r="Y302" s="309"/>
      <c r="Z302" s="310">
        <f>(R302+S302+T302)*'1.0-Contractblad'!$L$37</f>
        <v>947.28451856443883</v>
      </c>
      <c r="AA302" s="310">
        <f ca="1">VLOOKUP(E302,'1.2-Jaarprijzen'!$B$51:$Q$88,16,FALSE)*K302</f>
        <v>0</v>
      </c>
      <c r="AC302" s="226">
        <f t="shared" si="88"/>
        <v>10138</v>
      </c>
      <c r="AD302" s="226" t="str">
        <f t="shared" si="89"/>
        <v>7200-200</v>
      </c>
    </row>
    <row r="303" spans="2:30" ht="12.5">
      <c r="B303" s="336"/>
      <c r="C303" s="337"/>
      <c r="D303" s="302">
        <f>VLOOKUP(E303,'1.2-Jaarprijzen'!B:G,6,FALSE)</f>
        <v>1</v>
      </c>
      <c r="E303" s="522" t="s">
        <v>84</v>
      </c>
      <c r="F303" s="302" t="s">
        <v>272</v>
      </c>
      <c r="G303" s="525" t="s">
        <v>301</v>
      </c>
      <c r="H303" s="524" t="s">
        <v>439</v>
      </c>
      <c r="I303" s="303" t="str">
        <f t="shared" si="79"/>
        <v>sanitaire ruimte (toilet-/doucheruimte)</v>
      </c>
      <c r="J303" s="302" t="s">
        <v>221</v>
      </c>
      <c r="K303" s="304">
        <v>5.25</v>
      </c>
      <c r="L303" s="304"/>
      <c r="M303" s="305">
        <v>4200</v>
      </c>
      <c r="N303" s="302"/>
      <c r="O303" s="306">
        <f t="shared" si="83"/>
        <v>200</v>
      </c>
      <c r="P303" s="472">
        <v>1</v>
      </c>
      <c r="Q303" s="472">
        <v>1</v>
      </c>
      <c r="R303" s="300">
        <f t="shared" si="84"/>
        <v>14.070629039886489</v>
      </c>
      <c r="S303" s="300">
        <f t="shared" si="85"/>
        <v>2.4830521835093804</v>
      </c>
      <c r="T303" s="300">
        <f t="shared" si="86"/>
        <v>0</v>
      </c>
      <c r="U303" s="307">
        <f t="shared" si="80"/>
        <v>2.6801198171212359</v>
      </c>
      <c r="V303" s="307">
        <f t="shared" si="81"/>
        <v>0.4729623206684534</v>
      </c>
      <c r="W303" s="307">
        <f t="shared" si="82"/>
        <v>0</v>
      </c>
      <c r="X303" s="308" t="str">
        <f t="shared" si="87"/>
        <v>S</v>
      </c>
      <c r="Y303" s="309"/>
      <c r="Z303" s="310">
        <f>(R303+S303+T303)*'1.0-Contractblad'!$L$37</f>
        <v>502.69677778225167</v>
      </c>
      <c r="AA303" s="310">
        <f ca="1">VLOOKUP(E303,'1.2-Jaarprijzen'!$B$51:$Q$88,16,FALSE)*K303</f>
        <v>0</v>
      </c>
      <c r="AC303" s="226">
        <f t="shared" si="88"/>
        <v>1050</v>
      </c>
      <c r="AD303" s="226" t="str">
        <f t="shared" si="89"/>
        <v>4200-200</v>
      </c>
    </row>
    <row r="304" spans="2:30" ht="12.5">
      <c r="B304" s="336"/>
      <c r="C304" s="337"/>
      <c r="D304" s="302">
        <f>VLOOKUP(E304,'1.2-Jaarprijzen'!B:G,6,FALSE)</f>
        <v>1</v>
      </c>
      <c r="E304" s="522" t="s">
        <v>84</v>
      </c>
      <c r="F304" s="302" t="s">
        <v>272</v>
      </c>
      <c r="G304" s="525" t="s">
        <v>302</v>
      </c>
      <c r="H304" s="523" t="s">
        <v>437</v>
      </c>
      <c r="I304" s="303" t="str">
        <f t="shared" si="79"/>
        <v>leslokaal/leerplein</v>
      </c>
      <c r="J304" s="302" t="s">
        <v>221</v>
      </c>
      <c r="K304" s="304">
        <v>21.28</v>
      </c>
      <c r="L304" s="304"/>
      <c r="M304" s="305">
        <v>7200</v>
      </c>
      <c r="N304" s="302"/>
      <c r="O304" s="306">
        <f t="shared" si="83"/>
        <v>200</v>
      </c>
      <c r="P304" s="472">
        <v>1</v>
      </c>
      <c r="Q304" s="472">
        <v>1</v>
      </c>
      <c r="R304" s="300">
        <f t="shared" si="84"/>
        <v>11.131076923076924</v>
      </c>
      <c r="S304" s="300">
        <f t="shared" si="85"/>
        <v>1.9643076923076925</v>
      </c>
      <c r="T304" s="300">
        <f t="shared" si="86"/>
        <v>0</v>
      </c>
      <c r="U304" s="307">
        <f t="shared" si="80"/>
        <v>0.52307692307692311</v>
      </c>
      <c r="V304" s="307">
        <f t="shared" si="81"/>
        <v>9.2307692307692313E-2</v>
      </c>
      <c r="W304" s="307">
        <f t="shared" si="82"/>
        <v>0</v>
      </c>
      <c r="X304" s="308" t="str">
        <f t="shared" si="87"/>
        <v>L</v>
      </c>
      <c r="Y304" s="309"/>
      <c r="Z304" s="310">
        <f>(R304+S304+T304)*'1.0-Contractblad'!$L$37</f>
        <v>397.6763573693284</v>
      </c>
      <c r="AA304" s="310">
        <f ca="1">VLOOKUP(E304,'1.2-Jaarprijzen'!$B$51:$Q$88,16,FALSE)*K304</f>
        <v>0</v>
      </c>
      <c r="AC304" s="226">
        <f t="shared" si="88"/>
        <v>4256</v>
      </c>
      <c r="AD304" s="226" t="str">
        <f t="shared" si="89"/>
        <v>7200-200</v>
      </c>
    </row>
    <row r="305" spans="2:30" ht="12.5">
      <c r="B305" s="336"/>
      <c r="C305" s="337"/>
      <c r="D305" s="302">
        <f>VLOOKUP(E305,'1.2-Jaarprijzen'!B:G,6,FALSE)</f>
        <v>1</v>
      </c>
      <c r="E305" s="522" t="s">
        <v>84</v>
      </c>
      <c r="F305" s="302" t="s">
        <v>272</v>
      </c>
      <c r="G305" s="525" t="s">
        <v>303</v>
      </c>
      <c r="H305" s="524" t="s">
        <v>439</v>
      </c>
      <c r="I305" s="303" t="str">
        <f t="shared" si="79"/>
        <v>sanitaire ruimte (toilet-/doucheruimte)</v>
      </c>
      <c r="J305" s="302" t="s">
        <v>221</v>
      </c>
      <c r="K305" s="304">
        <v>5.22</v>
      </c>
      <c r="L305" s="304"/>
      <c r="M305" s="305">
        <v>4200</v>
      </c>
      <c r="N305" s="302"/>
      <c r="O305" s="306">
        <f t="shared" si="83"/>
        <v>200</v>
      </c>
      <c r="P305" s="472">
        <v>1</v>
      </c>
      <c r="Q305" s="472">
        <v>1</v>
      </c>
      <c r="R305" s="300">
        <f t="shared" si="84"/>
        <v>13.99022544537285</v>
      </c>
      <c r="S305" s="300">
        <f t="shared" si="85"/>
        <v>2.4688633138893268</v>
      </c>
      <c r="T305" s="300">
        <f t="shared" si="86"/>
        <v>0</v>
      </c>
      <c r="U305" s="307">
        <f t="shared" si="80"/>
        <v>2.6801198171212359</v>
      </c>
      <c r="V305" s="307">
        <f t="shared" si="81"/>
        <v>0.4729623206684534</v>
      </c>
      <c r="W305" s="307">
        <f t="shared" si="82"/>
        <v>0</v>
      </c>
      <c r="X305" s="308" t="str">
        <f t="shared" si="87"/>
        <v>S</v>
      </c>
      <c r="Y305" s="309"/>
      <c r="Z305" s="310">
        <f>(R305+S305+T305)*'1.0-Contractblad'!$L$37</f>
        <v>499.82422476635298</v>
      </c>
      <c r="AA305" s="310">
        <f ca="1">VLOOKUP(E305,'1.2-Jaarprijzen'!$B$51:$Q$88,16,FALSE)*K305</f>
        <v>0</v>
      </c>
      <c r="AC305" s="226">
        <f t="shared" si="88"/>
        <v>1044</v>
      </c>
      <c r="AD305" s="226" t="str">
        <f t="shared" si="89"/>
        <v>4200-200</v>
      </c>
    </row>
    <row r="306" spans="2:30" ht="12.5">
      <c r="B306" s="336"/>
      <c r="C306" s="337"/>
      <c r="D306" s="302">
        <f>VLOOKUP(E306,'1.2-Jaarprijzen'!B:G,6,FALSE)</f>
        <v>1</v>
      </c>
      <c r="E306" s="522" t="s">
        <v>84</v>
      </c>
      <c r="F306" s="302" t="s">
        <v>272</v>
      </c>
      <c r="G306" s="525" t="s">
        <v>305</v>
      </c>
      <c r="H306" s="523" t="s">
        <v>207</v>
      </c>
      <c r="I306" s="303" t="str">
        <f t="shared" si="79"/>
        <v>niet van toepassing</v>
      </c>
      <c r="J306" s="302" t="s">
        <v>221</v>
      </c>
      <c r="K306" s="304"/>
      <c r="L306" s="304">
        <v>2.87</v>
      </c>
      <c r="M306" s="305" t="s">
        <v>147</v>
      </c>
      <c r="N306" s="302"/>
      <c r="O306" s="306">
        <f t="shared" si="83"/>
        <v>0</v>
      </c>
      <c r="P306" s="472">
        <v>1</v>
      </c>
      <c r="Q306" s="472">
        <v>1</v>
      </c>
      <c r="R306" s="300">
        <f t="shared" si="84"/>
        <v>0</v>
      </c>
      <c r="S306" s="300">
        <f t="shared" si="85"/>
        <v>0</v>
      </c>
      <c r="T306" s="300">
        <f t="shared" si="86"/>
        <v>0</v>
      </c>
      <c r="U306" s="307">
        <f t="shared" si="80"/>
        <v>0</v>
      </c>
      <c r="V306" s="307">
        <f t="shared" si="81"/>
        <v>0</v>
      </c>
      <c r="W306" s="307">
        <f t="shared" si="82"/>
        <v>0</v>
      </c>
      <c r="X306" s="308">
        <f t="shared" si="87"/>
        <v>0</v>
      </c>
      <c r="Y306" s="309"/>
      <c r="Z306" s="310">
        <f>(R306+S306+T306)*'1.0-Contractblad'!$L$37</f>
        <v>0</v>
      </c>
      <c r="AA306" s="310">
        <f ca="1">VLOOKUP(E306,'1.2-Jaarprijzen'!$B$51:$Q$88,16,FALSE)*K306</f>
        <v>0</v>
      </c>
      <c r="AC306" s="226">
        <f t="shared" si="88"/>
        <v>0</v>
      </c>
      <c r="AD306" s="226" t="str">
        <f t="shared" si="89"/>
        <v>nvt-0</v>
      </c>
    </row>
    <row r="307" spans="2:30" ht="12.5">
      <c r="B307" s="336"/>
      <c r="C307" s="337"/>
      <c r="D307" s="302">
        <f>VLOOKUP(E307,'1.2-Jaarprijzen'!B:G,6,FALSE)</f>
        <v>1</v>
      </c>
      <c r="E307" s="522" t="s">
        <v>84</v>
      </c>
      <c r="F307" s="302" t="s">
        <v>272</v>
      </c>
      <c r="G307" s="525" t="s">
        <v>306</v>
      </c>
      <c r="H307" s="523" t="s">
        <v>437</v>
      </c>
      <c r="I307" s="303" t="str">
        <f t="shared" si="79"/>
        <v>leslokaal/leerplein</v>
      </c>
      <c r="J307" s="302" t="s">
        <v>221</v>
      </c>
      <c r="K307" s="304">
        <v>29.04</v>
      </c>
      <c r="L307" s="304"/>
      <c r="M307" s="305">
        <v>7200</v>
      </c>
      <c r="N307" s="302"/>
      <c r="O307" s="306">
        <f t="shared" si="83"/>
        <v>200</v>
      </c>
      <c r="P307" s="472">
        <v>1</v>
      </c>
      <c r="Q307" s="472">
        <v>1</v>
      </c>
      <c r="R307" s="300">
        <f t="shared" si="84"/>
        <v>15.190153846153846</v>
      </c>
      <c r="S307" s="300">
        <f t="shared" si="85"/>
        <v>2.6806153846153848</v>
      </c>
      <c r="T307" s="300">
        <f t="shared" si="86"/>
        <v>0</v>
      </c>
      <c r="U307" s="307">
        <f t="shared" si="80"/>
        <v>0.52307692307692311</v>
      </c>
      <c r="V307" s="307">
        <f t="shared" si="81"/>
        <v>9.2307692307692313E-2</v>
      </c>
      <c r="W307" s="307">
        <f t="shared" si="82"/>
        <v>0</v>
      </c>
      <c r="X307" s="308" t="str">
        <f t="shared" si="87"/>
        <v>L</v>
      </c>
      <c r="Y307" s="309"/>
      <c r="Z307" s="310">
        <f>(R307+S307+T307)*'1.0-Contractblad'!$L$37</f>
        <v>542.69367565814366</v>
      </c>
      <c r="AA307" s="310">
        <f ca="1">VLOOKUP(E307,'1.2-Jaarprijzen'!$B$51:$Q$88,16,FALSE)*K307</f>
        <v>0</v>
      </c>
      <c r="AC307" s="226">
        <f t="shared" si="88"/>
        <v>5808</v>
      </c>
      <c r="AD307" s="226" t="str">
        <f t="shared" si="89"/>
        <v>7200-200</v>
      </c>
    </row>
    <row r="308" spans="2:30" ht="12.5">
      <c r="B308" s="336"/>
      <c r="C308" s="337"/>
      <c r="D308" s="302">
        <f>VLOOKUP(E308,'1.2-Jaarprijzen'!B:G,6,FALSE)</f>
        <v>1</v>
      </c>
      <c r="E308" s="522" t="s">
        <v>84</v>
      </c>
      <c r="F308" s="302" t="s">
        <v>272</v>
      </c>
      <c r="G308" s="525" t="s">
        <v>308</v>
      </c>
      <c r="H308" s="523" t="s">
        <v>437</v>
      </c>
      <c r="I308" s="303" t="str">
        <f t="shared" si="79"/>
        <v>leslokaal/leerplein</v>
      </c>
      <c r="J308" s="302" t="s">
        <v>221</v>
      </c>
      <c r="K308" s="304">
        <v>29.49</v>
      </c>
      <c r="L308" s="304"/>
      <c r="M308" s="305">
        <v>7200</v>
      </c>
      <c r="N308" s="302"/>
      <c r="O308" s="306">
        <f t="shared" si="83"/>
        <v>200</v>
      </c>
      <c r="P308" s="472">
        <v>1</v>
      </c>
      <c r="Q308" s="472">
        <v>1</v>
      </c>
      <c r="R308" s="300">
        <f t="shared" si="84"/>
        <v>15.425538461538462</v>
      </c>
      <c r="S308" s="300">
        <f t="shared" si="85"/>
        <v>2.7221538461538461</v>
      </c>
      <c r="T308" s="300">
        <f t="shared" si="86"/>
        <v>0</v>
      </c>
      <c r="U308" s="307">
        <f t="shared" si="80"/>
        <v>0.52307692307692311</v>
      </c>
      <c r="V308" s="307">
        <f t="shared" si="81"/>
        <v>9.2307692307692313E-2</v>
      </c>
      <c r="W308" s="307">
        <f t="shared" si="82"/>
        <v>0</v>
      </c>
      <c r="X308" s="308" t="str">
        <f t="shared" si="87"/>
        <v>L</v>
      </c>
      <c r="Y308" s="309"/>
      <c r="Z308" s="310">
        <f>(R308+S308+T308)*'1.0-Contractblad'!$L$37</f>
        <v>551.10318509499507</v>
      </c>
      <c r="AA308" s="310">
        <f ca="1">VLOOKUP(E308,'1.2-Jaarprijzen'!$B$51:$Q$88,16,FALSE)*K308</f>
        <v>0</v>
      </c>
      <c r="AC308" s="226">
        <f t="shared" si="88"/>
        <v>5898</v>
      </c>
      <c r="AD308" s="226" t="str">
        <f t="shared" si="89"/>
        <v>7200-200</v>
      </c>
    </row>
    <row r="309" spans="2:30" ht="12.5">
      <c r="B309" s="336"/>
      <c r="C309" s="337"/>
      <c r="D309" s="302">
        <f>VLOOKUP(E309,'1.2-Jaarprijzen'!B:G,6,FALSE)</f>
        <v>1</v>
      </c>
      <c r="E309" s="522" t="s">
        <v>84</v>
      </c>
      <c r="F309" s="302" t="s">
        <v>272</v>
      </c>
      <c r="G309" s="525" t="s">
        <v>309</v>
      </c>
      <c r="H309" s="523" t="s">
        <v>437</v>
      </c>
      <c r="I309" s="303" t="str">
        <f t="shared" si="79"/>
        <v>leslokaal/leerplein</v>
      </c>
      <c r="J309" s="302" t="s">
        <v>221</v>
      </c>
      <c r="K309" s="304">
        <v>29.64</v>
      </c>
      <c r="L309" s="304"/>
      <c r="M309" s="305">
        <v>7200</v>
      </c>
      <c r="N309" s="302"/>
      <c r="O309" s="306">
        <f t="shared" si="83"/>
        <v>200</v>
      </c>
      <c r="P309" s="472">
        <v>1</v>
      </c>
      <c r="Q309" s="472">
        <v>1</v>
      </c>
      <c r="R309" s="300">
        <f t="shared" si="84"/>
        <v>15.504000000000001</v>
      </c>
      <c r="S309" s="300">
        <f t="shared" si="85"/>
        <v>2.7360000000000002</v>
      </c>
      <c r="T309" s="300">
        <f t="shared" si="86"/>
        <v>0</v>
      </c>
      <c r="U309" s="307">
        <f t="shared" si="80"/>
        <v>0.52307692307692311</v>
      </c>
      <c r="V309" s="307">
        <f t="shared" si="81"/>
        <v>9.2307692307692313E-2</v>
      </c>
      <c r="W309" s="307">
        <f t="shared" si="82"/>
        <v>0</v>
      </c>
      <c r="X309" s="308" t="str">
        <f t="shared" si="87"/>
        <v>L</v>
      </c>
      <c r="Y309" s="309"/>
      <c r="Z309" s="310">
        <f>(R309+S309+T309)*'1.0-Contractblad'!$L$37</f>
        <v>553.90635490727891</v>
      </c>
      <c r="AA309" s="310">
        <f ca="1">VLOOKUP(E309,'1.2-Jaarprijzen'!$B$51:$Q$88,16,FALSE)*K309</f>
        <v>0</v>
      </c>
      <c r="AC309" s="226">
        <f t="shared" si="88"/>
        <v>5928</v>
      </c>
      <c r="AD309" s="226" t="str">
        <f t="shared" si="89"/>
        <v>7200-200</v>
      </c>
    </row>
    <row r="310" spans="2:30" ht="12.5">
      <c r="B310" s="336"/>
      <c r="C310" s="337"/>
      <c r="D310" s="302">
        <f>VLOOKUP(E310,'1.2-Jaarprijzen'!B:G,6,FALSE)</f>
        <v>1</v>
      </c>
      <c r="E310" s="522" t="s">
        <v>84</v>
      </c>
      <c r="F310" s="302" t="s">
        <v>272</v>
      </c>
      <c r="G310" s="525" t="s">
        <v>310</v>
      </c>
      <c r="H310" s="523" t="s">
        <v>207</v>
      </c>
      <c r="I310" s="303" t="str">
        <f t="shared" si="79"/>
        <v>niet van toepassing</v>
      </c>
      <c r="J310" s="302" t="s">
        <v>221</v>
      </c>
      <c r="K310" s="304"/>
      <c r="L310" s="304">
        <v>2.87</v>
      </c>
      <c r="M310" s="305" t="s">
        <v>147</v>
      </c>
      <c r="N310" s="302"/>
      <c r="O310" s="306">
        <f t="shared" si="83"/>
        <v>0</v>
      </c>
      <c r="P310" s="472">
        <v>1</v>
      </c>
      <c r="Q310" s="472">
        <v>1</v>
      </c>
      <c r="R310" s="300">
        <f t="shared" si="84"/>
        <v>0</v>
      </c>
      <c r="S310" s="300">
        <f t="shared" si="85"/>
        <v>0</v>
      </c>
      <c r="T310" s="300">
        <f t="shared" si="86"/>
        <v>0</v>
      </c>
      <c r="U310" s="307">
        <f t="shared" si="80"/>
        <v>0</v>
      </c>
      <c r="V310" s="307">
        <f t="shared" si="81"/>
        <v>0</v>
      </c>
      <c r="W310" s="307">
        <f t="shared" si="82"/>
        <v>0</v>
      </c>
      <c r="X310" s="308">
        <f t="shared" si="87"/>
        <v>0</v>
      </c>
      <c r="Y310" s="309"/>
      <c r="Z310" s="310">
        <f>(R310+S310+T310)*'1.0-Contractblad'!$L$37</f>
        <v>0</v>
      </c>
      <c r="AA310" s="310">
        <f ca="1">VLOOKUP(E310,'1.2-Jaarprijzen'!$B$51:$Q$88,16,FALSE)*K310</f>
        <v>0</v>
      </c>
      <c r="AC310" s="226">
        <f t="shared" si="88"/>
        <v>0</v>
      </c>
      <c r="AD310" s="226" t="str">
        <f t="shared" si="89"/>
        <v>nvt-0</v>
      </c>
    </row>
    <row r="311" spans="2:30" ht="12.5">
      <c r="B311" s="336"/>
      <c r="C311" s="337"/>
      <c r="D311" s="302">
        <f>VLOOKUP(E311,'1.2-Jaarprijzen'!B:G,6,FALSE)</f>
        <v>1</v>
      </c>
      <c r="E311" s="522" t="s">
        <v>84</v>
      </c>
      <c r="F311" s="302" t="s">
        <v>272</v>
      </c>
      <c r="G311" s="525" t="s">
        <v>312</v>
      </c>
      <c r="H311" s="524" t="s">
        <v>439</v>
      </c>
      <c r="I311" s="303" t="str">
        <f t="shared" si="79"/>
        <v>sanitaire ruimte (toilet-/doucheruimte)</v>
      </c>
      <c r="J311" s="302" t="s">
        <v>221</v>
      </c>
      <c r="K311" s="304">
        <v>5.22</v>
      </c>
      <c r="L311" s="304"/>
      <c r="M311" s="305">
        <v>4200</v>
      </c>
      <c r="N311" s="302"/>
      <c r="O311" s="306">
        <f t="shared" si="83"/>
        <v>200</v>
      </c>
      <c r="P311" s="472">
        <v>1</v>
      </c>
      <c r="Q311" s="472">
        <v>1</v>
      </c>
      <c r="R311" s="300">
        <f t="shared" si="84"/>
        <v>13.99022544537285</v>
      </c>
      <c r="S311" s="300">
        <f t="shared" si="85"/>
        <v>2.4688633138893268</v>
      </c>
      <c r="T311" s="300">
        <f t="shared" si="86"/>
        <v>0</v>
      </c>
      <c r="U311" s="307">
        <f t="shared" si="80"/>
        <v>2.6801198171212359</v>
      </c>
      <c r="V311" s="307">
        <f t="shared" si="81"/>
        <v>0.4729623206684534</v>
      </c>
      <c r="W311" s="307">
        <f t="shared" si="82"/>
        <v>0</v>
      </c>
      <c r="X311" s="308" t="str">
        <f t="shared" si="87"/>
        <v>S</v>
      </c>
      <c r="Y311" s="309"/>
      <c r="Z311" s="310">
        <f>(R311+S311+T311)*'1.0-Contractblad'!$L$37</f>
        <v>499.82422476635298</v>
      </c>
      <c r="AA311" s="310">
        <f ca="1">VLOOKUP(E311,'1.2-Jaarprijzen'!$B$51:$Q$88,16,FALSE)*K311</f>
        <v>0</v>
      </c>
      <c r="AC311" s="226">
        <f t="shared" si="88"/>
        <v>1044</v>
      </c>
      <c r="AD311" s="226" t="str">
        <f t="shared" si="89"/>
        <v>4200-200</v>
      </c>
    </row>
    <row r="312" spans="2:30" ht="12.5">
      <c r="B312" s="336"/>
      <c r="C312" s="337"/>
      <c r="D312" s="302">
        <f>VLOOKUP(E312,'1.2-Jaarprijzen'!B:G,6,FALSE)</f>
        <v>1</v>
      </c>
      <c r="E312" s="522" t="s">
        <v>84</v>
      </c>
      <c r="F312" s="302" t="s">
        <v>272</v>
      </c>
      <c r="G312" s="525" t="s">
        <v>314</v>
      </c>
      <c r="H312" s="523" t="s">
        <v>437</v>
      </c>
      <c r="I312" s="303" t="str">
        <f t="shared" si="79"/>
        <v>leslokaal/leerplein</v>
      </c>
      <c r="J312" s="302" t="s">
        <v>221</v>
      </c>
      <c r="K312" s="304">
        <v>21.96</v>
      </c>
      <c r="L312" s="304"/>
      <c r="M312" s="305">
        <v>7200</v>
      </c>
      <c r="N312" s="302"/>
      <c r="O312" s="306">
        <f t="shared" si="83"/>
        <v>200</v>
      </c>
      <c r="P312" s="472">
        <v>1</v>
      </c>
      <c r="Q312" s="472">
        <v>1</v>
      </c>
      <c r="R312" s="300">
        <f t="shared" si="84"/>
        <v>11.486769230769232</v>
      </c>
      <c r="S312" s="300">
        <f t="shared" si="85"/>
        <v>2.0270769230769234</v>
      </c>
      <c r="T312" s="300">
        <f t="shared" si="86"/>
        <v>0</v>
      </c>
      <c r="U312" s="307">
        <f t="shared" si="80"/>
        <v>0.52307692307692311</v>
      </c>
      <c r="V312" s="307">
        <f t="shared" si="81"/>
        <v>9.2307692307692313E-2</v>
      </c>
      <c r="W312" s="307">
        <f t="shared" si="82"/>
        <v>0</v>
      </c>
      <c r="X312" s="308" t="str">
        <f t="shared" si="87"/>
        <v>L</v>
      </c>
      <c r="Y312" s="309"/>
      <c r="Z312" s="310">
        <f>(R312+S312+T312)*'1.0-Contractblad'!$L$37</f>
        <v>410.38406051834835</v>
      </c>
      <c r="AA312" s="310">
        <f ca="1">VLOOKUP(E312,'1.2-Jaarprijzen'!$B$51:$Q$88,16,FALSE)*K312</f>
        <v>0</v>
      </c>
      <c r="AC312" s="226">
        <f t="shared" si="88"/>
        <v>4392</v>
      </c>
      <c r="AD312" s="226" t="str">
        <f t="shared" si="89"/>
        <v>7200-200</v>
      </c>
    </row>
    <row r="313" spans="2:30" ht="12.5">
      <c r="B313" s="336"/>
      <c r="C313" s="337"/>
      <c r="D313" s="302">
        <f>VLOOKUP(E313,'1.2-Jaarprijzen'!B:G,6,FALSE)</f>
        <v>1</v>
      </c>
      <c r="E313" s="522" t="s">
        <v>84</v>
      </c>
      <c r="F313" s="302" t="s">
        <v>272</v>
      </c>
      <c r="G313" s="525" t="s">
        <v>468</v>
      </c>
      <c r="H313" s="523" t="s">
        <v>437</v>
      </c>
      <c r="I313" s="303" t="str">
        <f t="shared" si="79"/>
        <v>leslokaal/leerplein</v>
      </c>
      <c r="J313" s="302" t="s">
        <v>221</v>
      </c>
      <c r="K313" s="304">
        <v>53.04</v>
      </c>
      <c r="L313" s="304"/>
      <c r="M313" s="305">
        <v>7200</v>
      </c>
      <c r="N313" s="302"/>
      <c r="O313" s="306">
        <f t="shared" si="83"/>
        <v>200</v>
      </c>
      <c r="P313" s="472">
        <v>1</v>
      </c>
      <c r="Q313" s="472">
        <v>1</v>
      </c>
      <c r="R313" s="300">
        <f t="shared" si="84"/>
        <v>27.744</v>
      </c>
      <c r="S313" s="300">
        <f t="shared" si="85"/>
        <v>4.8959999999999999</v>
      </c>
      <c r="T313" s="300">
        <f t="shared" si="86"/>
        <v>0</v>
      </c>
      <c r="U313" s="307">
        <f t="shared" si="80"/>
        <v>0.52307692307692311</v>
      </c>
      <c r="V313" s="307">
        <f t="shared" si="81"/>
        <v>9.2307692307692313E-2</v>
      </c>
      <c r="W313" s="307">
        <f t="shared" si="82"/>
        <v>0</v>
      </c>
      <c r="X313" s="308" t="str">
        <f t="shared" si="87"/>
        <v>L</v>
      </c>
      <c r="Y313" s="309"/>
      <c r="Z313" s="310">
        <f>(R313+S313+T313)*'1.0-Contractblad'!$L$37</f>
        <v>991.20084562355157</v>
      </c>
      <c r="AA313" s="310">
        <f ca="1">VLOOKUP(E313,'1.2-Jaarprijzen'!$B$51:$Q$88,16,FALSE)*K313</f>
        <v>0</v>
      </c>
      <c r="AC313" s="226">
        <f t="shared" si="88"/>
        <v>10608</v>
      </c>
      <c r="AD313" s="226" t="str">
        <f t="shared" si="89"/>
        <v>7200-200</v>
      </c>
    </row>
    <row r="314" spans="2:30" ht="12.5">
      <c r="B314" s="336"/>
      <c r="C314" s="337"/>
      <c r="D314" s="302">
        <f>VLOOKUP(E314,'1.2-Jaarprijzen'!B:G,6,FALSE)</f>
        <v>1</v>
      </c>
      <c r="E314" s="522" t="s">
        <v>84</v>
      </c>
      <c r="F314" s="302" t="s">
        <v>272</v>
      </c>
      <c r="G314" s="525" t="s">
        <v>469</v>
      </c>
      <c r="H314" s="523" t="s">
        <v>207</v>
      </c>
      <c r="I314" s="303" t="str">
        <f t="shared" si="79"/>
        <v>niet van toepassing</v>
      </c>
      <c r="J314" s="302" t="s">
        <v>221</v>
      </c>
      <c r="K314" s="304"/>
      <c r="L314" s="304">
        <v>2.72</v>
      </c>
      <c r="M314" s="305" t="s">
        <v>147</v>
      </c>
      <c r="N314" s="302"/>
      <c r="O314" s="306">
        <f t="shared" si="83"/>
        <v>0</v>
      </c>
      <c r="P314" s="472">
        <v>1</v>
      </c>
      <c r="Q314" s="472">
        <v>1</v>
      </c>
      <c r="R314" s="300">
        <f t="shared" si="84"/>
        <v>0</v>
      </c>
      <c r="S314" s="300">
        <f t="shared" si="85"/>
        <v>0</v>
      </c>
      <c r="T314" s="300">
        <f t="shared" si="86"/>
        <v>0</v>
      </c>
      <c r="U314" s="307">
        <f t="shared" si="80"/>
        <v>0</v>
      </c>
      <c r="V314" s="307">
        <f t="shared" si="81"/>
        <v>0</v>
      </c>
      <c r="W314" s="307">
        <f t="shared" si="82"/>
        <v>0</v>
      </c>
      <c r="X314" s="308">
        <f t="shared" si="87"/>
        <v>0</v>
      </c>
      <c r="Y314" s="309"/>
      <c r="Z314" s="310">
        <f>(R314+S314+T314)*'1.0-Contractblad'!$L$37</f>
        <v>0</v>
      </c>
      <c r="AA314" s="310">
        <f ca="1">VLOOKUP(E314,'1.2-Jaarprijzen'!$B$51:$Q$88,16,FALSE)*K314</f>
        <v>0</v>
      </c>
      <c r="AC314" s="226">
        <f t="shared" si="88"/>
        <v>0</v>
      </c>
      <c r="AD314" s="226" t="str">
        <f t="shared" si="89"/>
        <v>nvt-0</v>
      </c>
    </row>
    <row r="315" spans="2:30" ht="12.5">
      <c r="B315" s="336"/>
      <c r="C315" s="337"/>
      <c r="D315" s="302">
        <f>VLOOKUP(E315,'1.2-Jaarprijzen'!B:G,6,FALSE)</f>
        <v>1</v>
      </c>
      <c r="E315" s="522" t="s">
        <v>84</v>
      </c>
      <c r="F315" s="302" t="s">
        <v>272</v>
      </c>
      <c r="G315" s="525" t="s">
        <v>470</v>
      </c>
      <c r="H315" s="524" t="s">
        <v>439</v>
      </c>
      <c r="I315" s="303" t="str">
        <f t="shared" si="79"/>
        <v>sanitaire ruimte (toilet-/doucheruimte)</v>
      </c>
      <c r="J315" s="302" t="s">
        <v>221</v>
      </c>
      <c r="K315" s="304">
        <v>5.07</v>
      </c>
      <c r="L315" s="304"/>
      <c r="M315" s="305">
        <v>4200</v>
      </c>
      <c r="N315" s="302"/>
      <c r="O315" s="306">
        <f t="shared" si="83"/>
        <v>200</v>
      </c>
      <c r="P315" s="472">
        <v>1</v>
      </c>
      <c r="Q315" s="472">
        <v>1</v>
      </c>
      <c r="R315" s="300">
        <f t="shared" si="84"/>
        <v>13.588207472804667</v>
      </c>
      <c r="S315" s="300">
        <f t="shared" si="85"/>
        <v>2.3979189657890587</v>
      </c>
      <c r="T315" s="300">
        <f t="shared" si="86"/>
        <v>0</v>
      </c>
      <c r="U315" s="307">
        <f t="shared" si="80"/>
        <v>2.6801198171212359</v>
      </c>
      <c r="V315" s="307">
        <f t="shared" si="81"/>
        <v>0.4729623206684534</v>
      </c>
      <c r="W315" s="307">
        <f t="shared" si="82"/>
        <v>0</v>
      </c>
      <c r="X315" s="308" t="str">
        <f t="shared" si="87"/>
        <v>S</v>
      </c>
      <c r="Y315" s="309"/>
      <c r="Z315" s="310">
        <f>(R315+S315+T315)*'1.0-Contractblad'!$L$37</f>
        <v>485.46145968686017</v>
      </c>
      <c r="AA315" s="310">
        <f ca="1">VLOOKUP(E315,'1.2-Jaarprijzen'!$B$51:$Q$88,16,FALSE)*K315</f>
        <v>0</v>
      </c>
      <c r="AC315" s="226">
        <f t="shared" si="88"/>
        <v>1014</v>
      </c>
      <c r="AD315" s="226" t="str">
        <f t="shared" si="89"/>
        <v>4200-200</v>
      </c>
    </row>
    <row r="316" spans="2:30" ht="12.5">
      <c r="B316" s="336"/>
      <c r="C316" s="337"/>
      <c r="D316" s="302">
        <f>VLOOKUP(E316,'1.2-Jaarprijzen'!B:G,6,FALSE)</f>
        <v>1</v>
      </c>
      <c r="E316" s="522" t="s">
        <v>84</v>
      </c>
      <c r="F316" s="302" t="s">
        <v>272</v>
      </c>
      <c r="G316" s="525" t="s">
        <v>471</v>
      </c>
      <c r="H316" s="523" t="s">
        <v>437</v>
      </c>
      <c r="I316" s="303" t="str">
        <f t="shared" si="79"/>
        <v>leslokaal/leerplein</v>
      </c>
      <c r="J316" s="302" t="s">
        <v>221</v>
      </c>
      <c r="K316" s="304">
        <v>58.58</v>
      </c>
      <c r="L316" s="304"/>
      <c r="M316" s="305">
        <v>7200</v>
      </c>
      <c r="N316" s="302"/>
      <c r="O316" s="306">
        <f t="shared" si="83"/>
        <v>200</v>
      </c>
      <c r="P316" s="472">
        <v>1</v>
      </c>
      <c r="Q316" s="472">
        <v>1</v>
      </c>
      <c r="R316" s="300">
        <f t="shared" si="84"/>
        <v>30.641846153846156</v>
      </c>
      <c r="S316" s="300">
        <f t="shared" si="85"/>
        <v>5.4073846153846157</v>
      </c>
      <c r="T316" s="300">
        <f t="shared" si="86"/>
        <v>0</v>
      </c>
      <c r="U316" s="307">
        <f t="shared" si="80"/>
        <v>0.52307692307692311</v>
      </c>
      <c r="V316" s="307">
        <f t="shared" si="81"/>
        <v>9.2307692307692313E-2</v>
      </c>
      <c r="W316" s="307">
        <f t="shared" si="82"/>
        <v>0</v>
      </c>
      <c r="X316" s="308" t="str">
        <f t="shared" si="87"/>
        <v>L</v>
      </c>
      <c r="Y316" s="309"/>
      <c r="Z316" s="310">
        <f>(R316+S316+T316)*'1.0-Contractblad'!$L$37</f>
        <v>1094.7312506905669</v>
      </c>
      <c r="AA316" s="310">
        <f ca="1">VLOOKUP(E316,'1.2-Jaarprijzen'!$B$51:$Q$88,16,FALSE)*K316</f>
        <v>0</v>
      </c>
      <c r="AC316" s="226">
        <f t="shared" si="88"/>
        <v>11716</v>
      </c>
      <c r="AD316" s="226" t="str">
        <f t="shared" si="89"/>
        <v>7200-200</v>
      </c>
    </row>
    <row r="317" spans="2:30" ht="12.5">
      <c r="B317" s="336"/>
      <c r="C317" s="337"/>
      <c r="D317" s="302">
        <f>VLOOKUP(E317,'1.2-Jaarprijzen'!B:G,6,FALSE)</f>
        <v>1</v>
      </c>
      <c r="E317" s="522" t="s">
        <v>84</v>
      </c>
      <c r="F317" s="302" t="s">
        <v>272</v>
      </c>
      <c r="G317" s="525" t="s">
        <v>472</v>
      </c>
      <c r="H317" s="523" t="s">
        <v>207</v>
      </c>
      <c r="I317" s="303" t="str">
        <f t="shared" si="79"/>
        <v>niet van toepassing</v>
      </c>
      <c r="J317" s="302" t="s">
        <v>221</v>
      </c>
      <c r="K317" s="304"/>
      <c r="L317" s="304">
        <v>6.26</v>
      </c>
      <c r="M317" s="305" t="s">
        <v>147</v>
      </c>
      <c r="N317" s="302"/>
      <c r="O317" s="306">
        <f t="shared" si="83"/>
        <v>0</v>
      </c>
      <c r="P317" s="472">
        <v>1</v>
      </c>
      <c r="Q317" s="472">
        <v>1</v>
      </c>
      <c r="R317" s="300">
        <f t="shared" si="84"/>
        <v>0</v>
      </c>
      <c r="S317" s="300">
        <f t="shared" si="85"/>
        <v>0</v>
      </c>
      <c r="T317" s="300">
        <f t="shared" si="86"/>
        <v>0</v>
      </c>
      <c r="U317" s="307">
        <f t="shared" si="80"/>
        <v>0</v>
      </c>
      <c r="V317" s="307">
        <f t="shared" si="81"/>
        <v>0</v>
      </c>
      <c r="W317" s="307">
        <f t="shared" si="82"/>
        <v>0</v>
      </c>
      <c r="X317" s="308">
        <f t="shared" si="87"/>
        <v>0</v>
      </c>
      <c r="Y317" s="309"/>
      <c r="Z317" s="310">
        <f>(R317+S317+T317)*'1.0-Contractblad'!$L$37</f>
        <v>0</v>
      </c>
      <c r="AA317" s="310">
        <f ca="1">VLOOKUP(E317,'1.2-Jaarprijzen'!$B$51:$Q$88,16,FALSE)*K317</f>
        <v>0</v>
      </c>
      <c r="AC317" s="226">
        <f t="shared" si="88"/>
        <v>0</v>
      </c>
      <c r="AD317" s="226" t="str">
        <f t="shared" si="89"/>
        <v>nvt-0</v>
      </c>
    </row>
    <row r="318" spans="2:30" ht="12.5">
      <c r="B318" s="336"/>
      <c r="C318" s="337"/>
      <c r="D318" s="302">
        <f>VLOOKUP(E318,'1.2-Jaarprijzen'!B:G,6,FALSE)</f>
        <v>1</v>
      </c>
      <c r="E318" s="522" t="s">
        <v>84</v>
      </c>
      <c r="F318" s="302" t="s">
        <v>272</v>
      </c>
      <c r="G318" s="525" t="s">
        <v>473</v>
      </c>
      <c r="H318" s="523" t="s">
        <v>466</v>
      </c>
      <c r="I318" s="303" t="str">
        <f t="shared" si="79"/>
        <v>leslokaal/leerplein</v>
      </c>
      <c r="J318" s="302" t="s">
        <v>221</v>
      </c>
      <c r="K318" s="304">
        <v>216.49</v>
      </c>
      <c r="L318" s="304"/>
      <c r="M318" s="305">
        <v>7200</v>
      </c>
      <c r="N318" s="302"/>
      <c r="O318" s="306">
        <f t="shared" si="83"/>
        <v>200</v>
      </c>
      <c r="P318" s="472">
        <v>1</v>
      </c>
      <c r="Q318" s="472">
        <v>1</v>
      </c>
      <c r="R318" s="300">
        <f t="shared" si="84"/>
        <v>113.24092307692308</v>
      </c>
      <c r="S318" s="300">
        <f t="shared" si="85"/>
        <v>19.983692307692309</v>
      </c>
      <c r="T318" s="300">
        <f t="shared" si="86"/>
        <v>0</v>
      </c>
      <c r="U318" s="307">
        <f t="shared" si="80"/>
        <v>0.52307692307692311</v>
      </c>
      <c r="V318" s="307">
        <f t="shared" si="81"/>
        <v>9.2307692307692313E-2</v>
      </c>
      <c r="W318" s="307">
        <f t="shared" si="82"/>
        <v>0</v>
      </c>
      <c r="X318" s="308" t="str">
        <f t="shared" si="87"/>
        <v>L</v>
      </c>
      <c r="Y318" s="309"/>
      <c r="Z318" s="310">
        <f>(R318+S318+T318)*'1.0-Contractblad'!$L$37</f>
        <v>4045.7215510754654</v>
      </c>
      <c r="AA318" s="310">
        <f ca="1">VLOOKUP(E318,'1.2-Jaarprijzen'!$B$51:$Q$88,16,FALSE)*K318</f>
        <v>0</v>
      </c>
      <c r="AC318" s="226">
        <f t="shared" si="88"/>
        <v>43298</v>
      </c>
      <c r="AD318" s="226" t="str">
        <f t="shared" si="89"/>
        <v>7200-200</v>
      </c>
    </row>
    <row r="319" spans="2:30" ht="12.5">
      <c r="B319" s="336"/>
      <c r="C319" s="337"/>
      <c r="D319" s="302">
        <f>VLOOKUP(E319,'1.2-Jaarprijzen'!B:G,6,FALSE)</f>
        <v>1</v>
      </c>
      <c r="E319" s="522" t="s">
        <v>84</v>
      </c>
      <c r="F319" s="302" t="s">
        <v>272</v>
      </c>
      <c r="G319" s="525" t="s">
        <v>474</v>
      </c>
      <c r="H319" s="523" t="s">
        <v>437</v>
      </c>
      <c r="I319" s="303" t="str">
        <f t="shared" si="79"/>
        <v>leslokaal/leerplein</v>
      </c>
      <c r="J319" s="302" t="s">
        <v>221</v>
      </c>
      <c r="K319" s="304">
        <v>52.25</v>
      </c>
      <c r="L319" s="304"/>
      <c r="M319" s="305">
        <v>7200</v>
      </c>
      <c r="N319" s="302"/>
      <c r="O319" s="306">
        <f t="shared" si="83"/>
        <v>200</v>
      </c>
      <c r="P319" s="472">
        <v>1</v>
      </c>
      <c r="Q319" s="472">
        <v>1</v>
      </c>
      <c r="R319" s="300">
        <f t="shared" si="84"/>
        <v>27.330769230769231</v>
      </c>
      <c r="S319" s="300">
        <f t="shared" si="85"/>
        <v>4.8230769230769237</v>
      </c>
      <c r="T319" s="300">
        <f t="shared" si="86"/>
        <v>0</v>
      </c>
      <c r="U319" s="307">
        <f t="shared" si="80"/>
        <v>0.52307692307692311</v>
      </c>
      <c r="V319" s="307">
        <f t="shared" si="81"/>
        <v>9.2307692307692313E-2</v>
      </c>
      <c r="W319" s="307">
        <f t="shared" si="82"/>
        <v>0</v>
      </c>
      <c r="X319" s="308" t="str">
        <f t="shared" si="87"/>
        <v>L</v>
      </c>
      <c r="Y319" s="309"/>
      <c r="Z319" s="310">
        <f>(R319+S319+T319)*'1.0-Contractblad'!$L$37</f>
        <v>976.43748461219025</v>
      </c>
      <c r="AA319" s="310">
        <f ca="1">VLOOKUP(E319,'1.2-Jaarprijzen'!$B$51:$Q$88,16,FALSE)*K319</f>
        <v>0</v>
      </c>
      <c r="AC319" s="226">
        <f t="shared" si="88"/>
        <v>10450</v>
      </c>
      <c r="AD319" s="226" t="str">
        <f t="shared" si="89"/>
        <v>7200-200</v>
      </c>
    </row>
    <row r="320" spans="2:30" ht="12.5">
      <c r="B320" s="336"/>
      <c r="C320" s="337"/>
      <c r="D320" s="302">
        <f>VLOOKUP(E320,'1.2-Jaarprijzen'!B:G,6,FALSE)</f>
        <v>1</v>
      </c>
      <c r="E320" s="522" t="s">
        <v>84</v>
      </c>
      <c r="F320" s="302" t="s">
        <v>272</v>
      </c>
      <c r="G320" s="525" t="s">
        <v>475</v>
      </c>
      <c r="H320" s="523" t="s">
        <v>207</v>
      </c>
      <c r="I320" s="303" t="str">
        <f t="shared" si="79"/>
        <v>niet van toepassing</v>
      </c>
      <c r="J320" s="302" t="s">
        <v>221</v>
      </c>
      <c r="K320" s="304"/>
      <c r="L320" s="304">
        <v>6.26</v>
      </c>
      <c r="M320" s="305" t="s">
        <v>147</v>
      </c>
      <c r="N320" s="302"/>
      <c r="O320" s="306">
        <f t="shared" si="83"/>
        <v>0</v>
      </c>
      <c r="P320" s="472">
        <v>1</v>
      </c>
      <c r="Q320" s="472">
        <v>1</v>
      </c>
      <c r="R320" s="300">
        <f t="shared" si="84"/>
        <v>0</v>
      </c>
      <c r="S320" s="300">
        <f t="shared" si="85"/>
        <v>0</v>
      </c>
      <c r="T320" s="300">
        <f t="shared" si="86"/>
        <v>0</v>
      </c>
      <c r="U320" s="307">
        <f t="shared" si="80"/>
        <v>0</v>
      </c>
      <c r="V320" s="307">
        <f t="shared" si="81"/>
        <v>0</v>
      </c>
      <c r="W320" s="307">
        <f t="shared" si="82"/>
        <v>0</v>
      </c>
      <c r="X320" s="308">
        <f t="shared" si="87"/>
        <v>0</v>
      </c>
      <c r="Y320" s="309"/>
      <c r="Z320" s="310">
        <f>(R320+S320+T320)*'1.0-Contractblad'!$L$37</f>
        <v>0</v>
      </c>
      <c r="AA320" s="310">
        <f ca="1">VLOOKUP(E320,'1.2-Jaarprijzen'!$B$51:$Q$88,16,FALSE)*K320</f>
        <v>0</v>
      </c>
      <c r="AC320" s="226">
        <f t="shared" si="88"/>
        <v>0</v>
      </c>
      <c r="AD320" s="226" t="str">
        <f t="shared" si="89"/>
        <v>nvt-0</v>
      </c>
    </row>
    <row r="321" spans="2:30" ht="12.5">
      <c r="B321" s="336"/>
      <c r="C321" s="337"/>
      <c r="D321" s="302">
        <f>VLOOKUP(E321,'1.2-Jaarprijzen'!B:G,6,FALSE)</f>
        <v>1</v>
      </c>
      <c r="E321" s="522" t="s">
        <v>84</v>
      </c>
      <c r="F321" s="302" t="s">
        <v>272</v>
      </c>
      <c r="G321" s="525" t="s">
        <v>476</v>
      </c>
      <c r="H321" s="523" t="s">
        <v>437</v>
      </c>
      <c r="I321" s="303" t="str">
        <f t="shared" si="79"/>
        <v>leslokaal/leerplein</v>
      </c>
      <c r="J321" s="302" t="s">
        <v>221</v>
      </c>
      <c r="K321" s="304">
        <v>53.06</v>
      </c>
      <c r="L321" s="304"/>
      <c r="M321" s="305">
        <v>7200</v>
      </c>
      <c r="N321" s="302"/>
      <c r="O321" s="306">
        <f t="shared" si="83"/>
        <v>200</v>
      </c>
      <c r="P321" s="472">
        <v>1</v>
      </c>
      <c r="Q321" s="472">
        <v>1</v>
      </c>
      <c r="R321" s="300">
        <f t="shared" si="84"/>
        <v>27.754461538461541</v>
      </c>
      <c r="S321" s="300">
        <f t="shared" si="85"/>
        <v>4.897846153846154</v>
      </c>
      <c r="T321" s="300">
        <f t="shared" si="86"/>
        <v>0</v>
      </c>
      <c r="U321" s="307">
        <f t="shared" si="80"/>
        <v>0.52307692307692311</v>
      </c>
      <c r="V321" s="307">
        <f t="shared" si="81"/>
        <v>9.2307692307692313E-2</v>
      </c>
      <c r="W321" s="307">
        <f t="shared" si="82"/>
        <v>0</v>
      </c>
      <c r="X321" s="308" t="str">
        <f t="shared" si="87"/>
        <v>L</v>
      </c>
      <c r="Y321" s="309"/>
      <c r="Z321" s="310">
        <f>(R321+S321+T321)*'1.0-Contractblad'!$L$37</f>
        <v>991.5746015985228</v>
      </c>
      <c r="AA321" s="310">
        <f ca="1">VLOOKUP(E321,'1.2-Jaarprijzen'!$B$51:$Q$88,16,FALSE)*K321</f>
        <v>0</v>
      </c>
      <c r="AC321" s="226">
        <f t="shared" si="88"/>
        <v>10612</v>
      </c>
      <c r="AD321" s="226" t="str">
        <f t="shared" si="89"/>
        <v>7200-200</v>
      </c>
    </row>
    <row r="322" spans="2:30" ht="12.5">
      <c r="B322" s="336"/>
      <c r="C322" s="337"/>
      <c r="D322" s="302">
        <f>VLOOKUP(E322,'1.2-Jaarprijzen'!B:G,6,FALSE)</f>
        <v>1</v>
      </c>
      <c r="E322" s="522" t="s">
        <v>84</v>
      </c>
      <c r="F322" s="302" t="s">
        <v>272</v>
      </c>
      <c r="G322" s="525" t="s">
        <v>477</v>
      </c>
      <c r="H322" s="524" t="s">
        <v>439</v>
      </c>
      <c r="I322" s="303" t="str">
        <f t="shared" si="79"/>
        <v>sanitaire ruimte (toilet-/doucheruimte)</v>
      </c>
      <c r="J322" s="302" t="s">
        <v>221</v>
      </c>
      <c r="K322" s="304">
        <v>5.07</v>
      </c>
      <c r="L322" s="304"/>
      <c r="M322" s="305">
        <v>4200</v>
      </c>
      <c r="N322" s="302"/>
      <c r="O322" s="306">
        <f t="shared" si="83"/>
        <v>200</v>
      </c>
      <c r="P322" s="472">
        <v>1</v>
      </c>
      <c r="Q322" s="472">
        <v>1</v>
      </c>
      <c r="R322" s="300">
        <f t="shared" si="84"/>
        <v>13.588207472804667</v>
      </c>
      <c r="S322" s="300">
        <f t="shared" si="85"/>
        <v>2.3979189657890587</v>
      </c>
      <c r="T322" s="300">
        <f t="shared" si="86"/>
        <v>0</v>
      </c>
      <c r="U322" s="307">
        <f t="shared" si="80"/>
        <v>2.6801198171212359</v>
      </c>
      <c r="V322" s="307">
        <f t="shared" si="81"/>
        <v>0.4729623206684534</v>
      </c>
      <c r="W322" s="307">
        <f t="shared" si="82"/>
        <v>0</v>
      </c>
      <c r="X322" s="308" t="str">
        <f t="shared" si="87"/>
        <v>S</v>
      </c>
      <c r="Y322" s="309"/>
      <c r="Z322" s="310">
        <f>(R322+S322+T322)*'1.0-Contractblad'!$L$37</f>
        <v>485.46145968686017</v>
      </c>
      <c r="AA322" s="310">
        <f ca="1">VLOOKUP(E322,'1.2-Jaarprijzen'!$B$51:$Q$88,16,FALSE)*K322</f>
        <v>0</v>
      </c>
      <c r="AC322" s="226">
        <f t="shared" si="88"/>
        <v>1014</v>
      </c>
      <c r="AD322" s="226" t="str">
        <f t="shared" si="89"/>
        <v>4200-200</v>
      </c>
    </row>
    <row r="323" spans="2:30" ht="12.5">
      <c r="B323" s="336"/>
      <c r="C323" s="337"/>
      <c r="D323" s="302">
        <f>VLOOKUP(E323,'1.2-Jaarprijzen'!B:G,6,FALSE)</f>
        <v>1</v>
      </c>
      <c r="E323" s="522" t="s">
        <v>84</v>
      </c>
      <c r="F323" s="302" t="s">
        <v>272</v>
      </c>
      <c r="G323" s="525" t="s">
        <v>478</v>
      </c>
      <c r="H323" s="523" t="s">
        <v>207</v>
      </c>
      <c r="I323" s="303" t="str">
        <f t="shared" si="79"/>
        <v>niet van toepassing</v>
      </c>
      <c r="J323" s="302" t="s">
        <v>221</v>
      </c>
      <c r="K323" s="304"/>
      <c r="L323" s="304">
        <v>2.72</v>
      </c>
      <c r="M323" s="305" t="s">
        <v>147</v>
      </c>
      <c r="N323" s="302"/>
      <c r="O323" s="306">
        <f t="shared" si="83"/>
        <v>0</v>
      </c>
      <c r="P323" s="472">
        <v>1</v>
      </c>
      <c r="Q323" s="472">
        <v>1</v>
      </c>
      <c r="R323" s="300">
        <f t="shared" si="84"/>
        <v>0</v>
      </c>
      <c r="S323" s="300">
        <f t="shared" si="85"/>
        <v>0</v>
      </c>
      <c r="T323" s="300">
        <f t="shared" si="86"/>
        <v>0</v>
      </c>
      <c r="U323" s="307">
        <f t="shared" si="80"/>
        <v>0</v>
      </c>
      <c r="V323" s="307">
        <f t="shared" si="81"/>
        <v>0</v>
      </c>
      <c r="W323" s="307">
        <f t="shared" si="82"/>
        <v>0</v>
      </c>
      <c r="X323" s="308">
        <f t="shared" si="87"/>
        <v>0</v>
      </c>
      <c r="Y323" s="309"/>
      <c r="Z323" s="310">
        <f>(R323+S323+T323)*'1.0-Contractblad'!$L$37</f>
        <v>0</v>
      </c>
      <c r="AA323" s="310">
        <f ca="1">VLOOKUP(E323,'1.2-Jaarprijzen'!$B$51:$Q$88,16,FALSE)*K323</f>
        <v>0</v>
      </c>
      <c r="AC323" s="226">
        <f t="shared" si="88"/>
        <v>0</v>
      </c>
      <c r="AD323" s="226" t="str">
        <f t="shared" si="89"/>
        <v>nvt-0</v>
      </c>
    </row>
    <row r="324" spans="2:30" ht="12.5">
      <c r="B324" s="336"/>
      <c r="C324" s="337"/>
      <c r="D324" s="302">
        <f>VLOOKUP(E324,'1.2-Jaarprijzen'!B:G,6,FALSE)</f>
        <v>1</v>
      </c>
      <c r="E324" s="522" t="s">
        <v>84</v>
      </c>
      <c r="F324" s="302" t="s">
        <v>272</v>
      </c>
      <c r="G324" s="525" t="s">
        <v>479</v>
      </c>
      <c r="H324" s="523" t="s">
        <v>437</v>
      </c>
      <c r="I324" s="303" t="str">
        <f t="shared" si="79"/>
        <v>leslokaal/leerplein</v>
      </c>
      <c r="J324" s="302" t="s">
        <v>221</v>
      </c>
      <c r="K324" s="304">
        <v>22.1</v>
      </c>
      <c r="L324" s="304"/>
      <c r="M324" s="305">
        <v>7200</v>
      </c>
      <c r="N324" s="302"/>
      <c r="O324" s="306">
        <f t="shared" si="83"/>
        <v>200</v>
      </c>
      <c r="P324" s="472">
        <v>1</v>
      </c>
      <c r="Q324" s="472">
        <v>1</v>
      </c>
      <c r="R324" s="300">
        <f t="shared" si="84"/>
        <v>11.56</v>
      </c>
      <c r="S324" s="300">
        <f t="shared" si="85"/>
        <v>2.04</v>
      </c>
      <c r="T324" s="300">
        <f t="shared" si="86"/>
        <v>0</v>
      </c>
      <c r="U324" s="307">
        <f t="shared" si="80"/>
        <v>0.52307692307692311</v>
      </c>
      <c r="V324" s="307">
        <f t="shared" si="81"/>
        <v>9.2307692307692313E-2</v>
      </c>
      <c r="W324" s="307">
        <f t="shared" si="82"/>
        <v>0</v>
      </c>
      <c r="X324" s="308" t="str">
        <f t="shared" si="87"/>
        <v>L</v>
      </c>
      <c r="Y324" s="309"/>
      <c r="Z324" s="310">
        <f>(R324+S324+T324)*'1.0-Contractblad'!$L$37</f>
        <v>413.00035234314652</v>
      </c>
      <c r="AA324" s="310">
        <f ca="1">VLOOKUP(E324,'1.2-Jaarprijzen'!$B$51:$Q$88,16,FALSE)*K324</f>
        <v>0</v>
      </c>
      <c r="AC324" s="226">
        <f t="shared" si="88"/>
        <v>4420</v>
      </c>
      <c r="AD324" s="226" t="str">
        <f t="shared" si="89"/>
        <v>7200-200</v>
      </c>
    </row>
    <row r="325" spans="2:30" ht="12.5">
      <c r="B325" s="336"/>
      <c r="C325" s="337"/>
      <c r="D325" s="302">
        <f>VLOOKUP(E325,'1.2-Jaarprijzen'!B:G,6,FALSE)</f>
        <v>1</v>
      </c>
      <c r="E325" s="522" t="s">
        <v>84</v>
      </c>
      <c r="F325" s="302" t="s">
        <v>272</v>
      </c>
      <c r="G325" s="525" t="s">
        <v>480</v>
      </c>
      <c r="H325" s="524" t="s">
        <v>439</v>
      </c>
      <c r="I325" s="303" t="str">
        <f t="shared" si="79"/>
        <v>sanitaire ruimte (toilet-/doucheruimte)</v>
      </c>
      <c r="J325" s="302" t="s">
        <v>221</v>
      </c>
      <c r="K325" s="304">
        <v>5.22</v>
      </c>
      <c r="L325" s="304"/>
      <c r="M325" s="305">
        <v>4200</v>
      </c>
      <c r="N325" s="302"/>
      <c r="O325" s="306">
        <f t="shared" si="83"/>
        <v>200</v>
      </c>
      <c r="P325" s="472">
        <v>1</v>
      </c>
      <c r="Q325" s="472">
        <v>1</v>
      </c>
      <c r="R325" s="300">
        <f t="shared" si="84"/>
        <v>13.99022544537285</v>
      </c>
      <c r="S325" s="300">
        <f t="shared" si="85"/>
        <v>2.4688633138893268</v>
      </c>
      <c r="T325" s="300">
        <f t="shared" si="86"/>
        <v>0</v>
      </c>
      <c r="U325" s="307">
        <f t="shared" si="80"/>
        <v>2.6801198171212359</v>
      </c>
      <c r="V325" s="307">
        <f t="shared" si="81"/>
        <v>0.4729623206684534</v>
      </c>
      <c r="W325" s="307">
        <f t="shared" si="82"/>
        <v>0</v>
      </c>
      <c r="X325" s="308" t="str">
        <f t="shared" si="87"/>
        <v>S</v>
      </c>
      <c r="Y325" s="309"/>
      <c r="Z325" s="310">
        <f>(R325+S325+T325)*'1.0-Contractblad'!$L$37</f>
        <v>499.82422476635298</v>
      </c>
      <c r="AA325" s="310">
        <f ca="1">VLOOKUP(E325,'1.2-Jaarprijzen'!$B$51:$Q$88,16,FALSE)*K325</f>
        <v>0</v>
      </c>
      <c r="AC325" s="226">
        <f t="shared" si="88"/>
        <v>1044</v>
      </c>
      <c r="AD325" s="226" t="str">
        <f t="shared" si="89"/>
        <v>4200-200</v>
      </c>
    </row>
    <row r="326" spans="2:30" ht="12.5">
      <c r="B326" s="336"/>
      <c r="C326" s="337"/>
      <c r="D326" s="302">
        <f>VLOOKUP(E326,'1.2-Jaarprijzen'!B:G,6,FALSE)</f>
        <v>1</v>
      </c>
      <c r="E326" s="522" t="s">
        <v>84</v>
      </c>
      <c r="F326" s="302" t="s">
        <v>272</v>
      </c>
      <c r="G326" s="525" t="s">
        <v>481</v>
      </c>
      <c r="H326" s="523" t="s">
        <v>207</v>
      </c>
      <c r="I326" s="303" t="str">
        <f t="shared" si="79"/>
        <v>niet van toepassing</v>
      </c>
      <c r="J326" s="302" t="s">
        <v>221</v>
      </c>
      <c r="K326" s="304"/>
      <c r="L326" s="304">
        <v>2.87</v>
      </c>
      <c r="M326" s="305" t="s">
        <v>147</v>
      </c>
      <c r="N326" s="302"/>
      <c r="O326" s="306">
        <f t="shared" si="83"/>
        <v>0</v>
      </c>
      <c r="P326" s="472">
        <v>1</v>
      </c>
      <c r="Q326" s="472">
        <v>1</v>
      </c>
      <c r="R326" s="300">
        <f t="shared" si="84"/>
        <v>0</v>
      </c>
      <c r="S326" s="300">
        <f t="shared" si="85"/>
        <v>0</v>
      </c>
      <c r="T326" s="300">
        <f t="shared" si="86"/>
        <v>0</v>
      </c>
      <c r="U326" s="307">
        <f t="shared" si="80"/>
        <v>0</v>
      </c>
      <c r="V326" s="307">
        <f t="shared" si="81"/>
        <v>0</v>
      </c>
      <c r="W326" s="307">
        <f t="shared" si="82"/>
        <v>0</v>
      </c>
      <c r="X326" s="308">
        <f t="shared" si="87"/>
        <v>0</v>
      </c>
      <c r="Y326" s="309"/>
      <c r="Z326" s="310">
        <f>(R326+S326+T326)*'1.0-Contractblad'!$L$37</f>
        <v>0</v>
      </c>
      <c r="AA326" s="310">
        <f ca="1">VLOOKUP(E326,'1.2-Jaarprijzen'!$B$51:$Q$88,16,FALSE)*K326</f>
        <v>0</v>
      </c>
      <c r="AC326" s="226">
        <f t="shared" si="88"/>
        <v>0</v>
      </c>
      <c r="AD326" s="226" t="str">
        <f t="shared" si="89"/>
        <v>nvt-0</v>
      </c>
    </row>
    <row r="327" spans="2:30" ht="12.5">
      <c r="B327" s="336"/>
      <c r="C327" s="337"/>
      <c r="D327" s="302">
        <f>VLOOKUP(E327,'1.2-Jaarprijzen'!B:G,6,FALSE)</f>
        <v>1</v>
      </c>
      <c r="E327" s="522" t="s">
        <v>84</v>
      </c>
      <c r="F327" s="302" t="s">
        <v>272</v>
      </c>
      <c r="G327" s="525" t="s">
        <v>482</v>
      </c>
      <c r="H327" s="523" t="s">
        <v>437</v>
      </c>
      <c r="I327" s="303" t="str">
        <f t="shared" si="79"/>
        <v>leslokaal/leerplein</v>
      </c>
      <c r="J327" s="302" t="s">
        <v>221</v>
      </c>
      <c r="K327" s="304">
        <v>29.57</v>
      </c>
      <c r="L327" s="304"/>
      <c r="M327" s="305">
        <v>7200</v>
      </c>
      <c r="N327" s="302"/>
      <c r="O327" s="306">
        <f t="shared" si="83"/>
        <v>200</v>
      </c>
      <c r="P327" s="472">
        <v>1</v>
      </c>
      <c r="Q327" s="472">
        <v>1</v>
      </c>
      <c r="R327" s="300">
        <f t="shared" si="84"/>
        <v>15.467384615384617</v>
      </c>
      <c r="S327" s="300">
        <f t="shared" si="85"/>
        <v>2.7295384615384619</v>
      </c>
      <c r="T327" s="300">
        <f t="shared" si="86"/>
        <v>0</v>
      </c>
      <c r="U327" s="307">
        <f t="shared" si="80"/>
        <v>0.52307692307692311</v>
      </c>
      <c r="V327" s="307">
        <f t="shared" si="81"/>
        <v>9.2307692307692313E-2</v>
      </c>
      <c r="W327" s="307">
        <f t="shared" si="82"/>
        <v>0</v>
      </c>
      <c r="X327" s="308" t="str">
        <f t="shared" si="87"/>
        <v>L</v>
      </c>
      <c r="Y327" s="309"/>
      <c r="Z327" s="310">
        <f>(R327+S327+T327)*'1.0-Contractblad'!$L$37</f>
        <v>552.59820899487977</v>
      </c>
      <c r="AA327" s="310">
        <f ca="1">VLOOKUP(E327,'1.2-Jaarprijzen'!$B$51:$Q$88,16,FALSE)*K327</f>
        <v>0</v>
      </c>
      <c r="AC327" s="226">
        <f t="shared" si="88"/>
        <v>5914</v>
      </c>
      <c r="AD327" s="226" t="str">
        <f t="shared" si="89"/>
        <v>7200-200</v>
      </c>
    </row>
    <row r="328" spans="2:30" ht="12.5">
      <c r="B328" s="336"/>
      <c r="C328" s="337"/>
      <c r="D328" s="302">
        <f>VLOOKUP(E328,'1.2-Jaarprijzen'!B:G,6,FALSE)</f>
        <v>1</v>
      </c>
      <c r="E328" s="522" t="s">
        <v>84</v>
      </c>
      <c r="F328" s="302" t="s">
        <v>272</v>
      </c>
      <c r="G328" s="525" t="s">
        <v>483</v>
      </c>
      <c r="H328" s="523" t="s">
        <v>437</v>
      </c>
      <c r="I328" s="303" t="str">
        <f t="shared" si="79"/>
        <v>leslokaal/leerplein</v>
      </c>
      <c r="J328" s="302" t="s">
        <v>221</v>
      </c>
      <c r="K328" s="304">
        <v>29.47</v>
      </c>
      <c r="L328" s="304"/>
      <c r="M328" s="305">
        <v>7200</v>
      </c>
      <c r="N328" s="302"/>
      <c r="O328" s="306">
        <f t="shared" si="83"/>
        <v>200</v>
      </c>
      <c r="P328" s="472">
        <v>1</v>
      </c>
      <c r="Q328" s="472">
        <v>1</v>
      </c>
      <c r="R328" s="300">
        <f t="shared" si="84"/>
        <v>15.415076923076922</v>
      </c>
      <c r="S328" s="300">
        <f t="shared" si="85"/>
        <v>2.7203076923076925</v>
      </c>
      <c r="T328" s="300">
        <f t="shared" si="86"/>
        <v>0</v>
      </c>
      <c r="U328" s="307">
        <f t="shared" si="80"/>
        <v>0.52307692307692311</v>
      </c>
      <c r="V328" s="307">
        <f t="shared" si="81"/>
        <v>9.2307692307692313E-2</v>
      </c>
      <c r="W328" s="307">
        <f t="shared" si="82"/>
        <v>0</v>
      </c>
      <c r="X328" s="308" t="str">
        <f t="shared" si="87"/>
        <v>L</v>
      </c>
      <c r="Y328" s="309"/>
      <c r="Z328" s="310">
        <f>(R328+S328+T328)*'1.0-Contractblad'!$L$37</f>
        <v>550.72942912002384</v>
      </c>
      <c r="AA328" s="310">
        <f ca="1">VLOOKUP(E328,'1.2-Jaarprijzen'!$B$51:$Q$88,16,FALSE)*K328</f>
        <v>0</v>
      </c>
      <c r="AC328" s="226">
        <f t="shared" si="88"/>
        <v>5894</v>
      </c>
      <c r="AD328" s="226" t="str">
        <f t="shared" si="89"/>
        <v>7200-200</v>
      </c>
    </row>
    <row r="329" spans="2:30" ht="12.5">
      <c r="B329" s="336"/>
      <c r="C329" s="337"/>
      <c r="D329" s="302">
        <f>VLOOKUP(E329,'1.2-Jaarprijzen'!B:G,6,FALSE)</f>
        <v>1</v>
      </c>
      <c r="E329" s="522" t="s">
        <v>84</v>
      </c>
      <c r="F329" s="302" t="s">
        <v>272</v>
      </c>
      <c r="G329" s="525" t="s">
        <v>484</v>
      </c>
      <c r="H329" s="523" t="s">
        <v>437</v>
      </c>
      <c r="I329" s="303" t="str">
        <f t="shared" si="79"/>
        <v>leslokaal/leerplein</v>
      </c>
      <c r="J329" s="302" t="s">
        <v>221</v>
      </c>
      <c r="K329" s="304">
        <v>29.03</v>
      </c>
      <c r="L329" s="304"/>
      <c r="M329" s="305">
        <v>7200</v>
      </c>
      <c r="N329" s="302"/>
      <c r="O329" s="306">
        <f t="shared" si="83"/>
        <v>200</v>
      </c>
      <c r="P329" s="472">
        <v>1</v>
      </c>
      <c r="Q329" s="472">
        <v>1</v>
      </c>
      <c r="R329" s="300">
        <f t="shared" si="84"/>
        <v>15.184923076923079</v>
      </c>
      <c r="S329" s="300">
        <f t="shared" si="85"/>
        <v>2.6796923076923078</v>
      </c>
      <c r="T329" s="300">
        <f t="shared" si="86"/>
        <v>0</v>
      </c>
      <c r="U329" s="307">
        <f t="shared" si="80"/>
        <v>0.52307692307692311</v>
      </c>
      <c r="V329" s="307">
        <f t="shared" si="81"/>
        <v>9.2307692307692313E-2</v>
      </c>
      <c r="W329" s="307">
        <f t="shared" si="82"/>
        <v>0</v>
      </c>
      <c r="X329" s="308" t="str">
        <f t="shared" si="87"/>
        <v>L</v>
      </c>
      <c r="Y329" s="309"/>
      <c r="Z329" s="310">
        <f>(R329+S329+T329)*'1.0-Contractblad'!$L$37</f>
        <v>542.5067976706581</v>
      </c>
      <c r="AA329" s="310">
        <f ca="1">VLOOKUP(E329,'1.2-Jaarprijzen'!$B$51:$Q$88,16,FALSE)*K329</f>
        <v>0</v>
      </c>
      <c r="AC329" s="226">
        <f t="shared" si="88"/>
        <v>5806</v>
      </c>
      <c r="AD329" s="226" t="str">
        <f t="shared" si="89"/>
        <v>7200-200</v>
      </c>
    </row>
    <row r="330" spans="2:30" ht="12.5">
      <c r="B330" s="336"/>
      <c r="C330" s="337"/>
      <c r="D330" s="302">
        <f>VLOOKUP(E330,'1.2-Jaarprijzen'!B:G,6,FALSE)</f>
        <v>1</v>
      </c>
      <c r="E330" s="522" t="s">
        <v>84</v>
      </c>
      <c r="F330" s="302" t="s">
        <v>272</v>
      </c>
      <c r="G330" s="525" t="s">
        <v>485</v>
      </c>
      <c r="H330" s="523" t="s">
        <v>437</v>
      </c>
      <c r="I330" s="303" t="str">
        <f t="shared" si="79"/>
        <v>leslokaal/leerplein</v>
      </c>
      <c r="J330" s="302" t="s">
        <v>221</v>
      </c>
      <c r="K330" s="304">
        <v>21.28</v>
      </c>
      <c r="L330" s="304"/>
      <c r="M330" s="305">
        <v>7200</v>
      </c>
      <c r="N330" s="302"/>
      <c r="O330" s="306">
        <f t="shared" si="83"/>
        <v>200</v>
      </c>
      <c r="P330" s="472">
        <v>1</v>
      </c>
      <c r="Q330" s="472">
        <v>1</v>
      </c>
      <c r="R330" s="300">
        <f t="shared" si="84"/>
        <v>11.131076923076924</v>
      </c>
      <c r="S330" s="300">
        <f t="shared" si="85"/>
        <v>1.9643076923076925</v>
      </c>
      <c r="T330" s="300">
        <f t="shared" si="86"/>
        <v>0</v>
      </c>
      <c r="U330" s="307">
        <f t="shared" si="80"/>
        <v>0.52307692307692311</v>
      </c>
      <c r="V330" s="307">
        <f t="shared" si="81"/>
        <v>9.2307692307692313E-2</v>
      </c>
      <c r="W330" s="307">
        <f t="shared" si="82"/>
        <v>0</v>
      </c>
      <c r="X330" s="308" t="str">
        <f t="shared" si="87"/>
        <v>L</v>
      </c>
      <c r="Y330" s="309"/>
      <c r="Z330" s="310">
        <f>(R330+S330+T330)*'1.0-Contractblad'!$L$37</f>
        <v>397.6763573693284</v>
      </c>
      <c r="AA330" s="310">
        <f ca="1">VLOOKUP(E330,'1.2-Jaarprijzen'!$B$51:$Q$88,16,FALSE)*K330</f>
        <v>0</v>
      </c>
      <c r="AC330" s="226">
        <f t="shared" si="88"/>
        <v>4256</v>
      </c>
      <c r="AD330" s="226" t="str">
        <f t="shared" si="89"/>
        <v>7200-200</v>
      </c>
    </row>
    <row r="331" spans="2:30" ht="12.5">
      <c r="B331" s="336"/>
      <c r="C331" s="337"/>
      <c r="D331" s="302">
        <f>VLOOKUP(E331,'1.2-Jaarprijzen'!B:G,6,FALSE)</f>
        <v>1</v>
      </c>
      <c r="E331" s="522" t="s">
        <v>84</v>
      </c>
      <c r="F331" s="302" t="s">
        <v>272</v>
      </c>
      <c r="G331" s="525" t="s">
        <v>486</v>
      </c>
      <c r="H331" s="524" t="s">
        <v>439</v>
      </c>
      <c r="I331" s="303" t="str">
        <f t="shared" si="79"/>
        <v>sanitaire ruimte (toilet-/doucheruimte)</v>
      </c>
      <c r="J331" s="302" t="s">
        <v>221</v>
      </c>
      <c r="K331" s="304">
        <v>5.22</v>
      </c>
      <c r="L331" s="304"/>
      <c r="M331" s="305">
        <v>4200</v>
      </c>
      <c r="N331" s="302"/>
      <c r="O331" s="306">
        <f t="shared" si="83"/>
        <v>200</v>
      </c>
      <c r="P331" s="472">
        <v>1</v>
      </c>
      <c r="Q331" s="472">
        <v>1</v>
      </c>
      <c r="R331" s="300">
        <f t="shared" si="84"/>
        <v>13.99022544537285</v>
      </c>
      <c r="S331" s="300">
        <f t="shared" si="85"/>
        <v>2.4688633138893268</v>
      </c>
      <c r="T331" s="300">
        <f t="shared" si="86"/>
        <v>0</v>
      </c>
      <c r="U331" s="307">
        <f t="shared" si="80"/>
        <v>2.6801198171212359</v>
      </c>
      <c r="V331" s="307">
        <f t="shared" si="81"/>
        <v>0.4729623206684534</v>
      </c>
      <c r="W331" s="307">
        <f t="shared" si="82"/>
        <v>0</v>
      </c>
      <c r="X331" s="308" t="str">
        <f t="shared" si="87"/>
        <v>S</v>
      </c>
      <c r="Y331" s="309"/>
      <c r="Z331" s="310">
        <f>(R331+S331+T331)*'1.0-Contractblad'!$L$37</f>
        <v>499.82422476635298</v>
      </c>
      <c r="AA331" s="310">
        <f ca="1">VLOOKUP(E331,'1.2-Jaarprijzen'!$B$51:$Q$88,16,FALSE)*K331</f>
        <v>0</v>
      </c>
      <c r="AC331" s="226">
        <f t="shared" si="88"/>
        <v>1044</v>
      </c>
      <c r="AD331" s="226" t="str">
        <f t="shared" si="89"/>
        <v>4200-200</v>
      </c>
    </row>
    <row r="332" spans="2:30" ht="12.5">
      <c r="B332" s="336"/>
      <c r="C332" s="337"/>
      <c r="D332" s="302">
        <f>VLOOKUP(E332,'1.2-Jaarprijzen'!B:G,6,FALSE)</f>
        <v>1</v>
      </c>
      <c r="E332" s="522" t="s">
        <v>84</v>
      </c>
      <c r="F332" s="302" t="s">
        <v>272</v>
      </c>
      <c r="G332" s="525" t="s">
        <v>487</v>
      </c>
      <c r="H332" s="523" t="s">
        <v>207</v>
      </c>
      <c r="I332" s="303" t="str">
        <f t="shared" si="79"/>
        <v>niet van toepassing</v>
      </c>
      <c r="J332" s="302" t="s">
        <v>221</v>
      </c>
      <c r="K332" s="304"/>
      <c r="L332" s="304">
        <v>2.87</v>
      </c>
      <c r="M332" s="305" t="s">
        <v>147</v>
      </c>
      <c r="N332" s="302"/>
      <c r="O332" s="306">
        <f t="shared" si="83"/>
        <v>0</v>
      </c>
      <c r="P332" s="472">
        <v>1</v>
      </c>
      <c r="Q332" s="472">
        <v>1</v>
      </c>
      <c r="R332" s="300">
        <f t="shared" si="84"/>
        <v>0</v>
      </c>
      <c r="S332" s="300">
        <f t="shared" si="85"/>
        <v>0</v>
      </c>
      <c r="T332" s="300">
        <f t="shared" si="86"/>
        <v>0</v>
      </c>
      <c r="U332" s="307">
        <f t="shared" si="80"/>
        <v>0</v>
      </c>
      <c r="V332" s="307">
        <f t="shared" si="81"/>
        <v>0</v>
      </c>
      <c r="W332" s="307">
        <f t="shared" si="82"/>
        <v>0</v>
      </c>
      <c r="X332" s="308">
        <f t="shared" si="87"/>
        <v>0</v>
      </c>
      <c r="Y332" s="309"/>
      <c r="Z332" s="310">
        <f>(R332+S332+T332)*'1.0-Contractblad'!$L$37</f>
        <v>0</v>
      </c>
      <c r="AA332" s="310">
        <f ca="1">VLOOKUP(E332,'1.2-Jaarprijzen'!$B$51:$Q$88,16,FALSE)*K332</f>
        <v>0</v>
      </c>
      <c r="AC332" s="226">
        <f t="shared" si="88"/>
        <v>0</v>
      </c>
      <c r="AD332" s="226" t="str">
        <f t="shared" si="89"/>
        <v>nvt-0</v>
      </c>
    </row>
    <row r="333" spans="2:30" ht="12.5">
      <c r="B333" s="336"/>
      <c r="C333" s="337"/>
      <c r="D333" s="302">
        <f>VLOOKUP(E333,'1.2-Jaarprijzen'!B:G,6,FALSE)</f>
        <v>1</v>
      </c>
      <c r="E333" s="522" t="s">
        <v>84</v>
      </c>
      <c r="F333" s="302" t="s">
        <v>272</v>
      </c>
      <c r="G333" s="525" t="s">
        <v>488</v>
      </c>
      <c r="H333" s="523" t="s">
        <v>437</v>
      </c>
      <c r="I333" s="303" t="str">
        <f t="shared" si="79"/>
        <v>leslokaal/leerplein</v>
      </c>
      <c r="J333" s="302" t="s">
        <v>221</v>
      </c>
      <c r="K333" s="304">
        <v>50.69</v>
      </c>
      <c r="L333" s="304"/>
      <c r="M333" s="305">
        <v>7200</v>
      </c>
      <c r="N333" s="302"/>
      <c r="O333" s="306">
        <f t="shared" si="83"/>
        <v>200</v>
      </c>
      <c r="P333" s="472">
        <v>1</v>
      </c>
      <c r="Q333" s="472">
        <v>1</v>
      </c>
      <c r="R333" s="300">
        <f t="shared" si="84"/>
        <v>26.514769230769232</v>
      </c>
      <c r="S333" s="300">
        <f t="shared" si="85"/>
        <v>4.6790769230769227</v>
      </c>
      <c r="T333" s="300">
        <f t="shared" si="86"/>
        <v>0</v>
      </c>
      <c r="U333" s="307">
        <f t="shared" si="80"/>
        <v>0.52307692307692311</v>
      </c>
      <c r="V333" s="307">
        <f t="shared" si="81"/>
        <v>9.2307692307692313E-2</v>
      </c>
      <c r="W333" s="307">
        <f t="shared" si="82"/>
        <v>0</v>
      </c>
      <c r="X333" s="308" t="str">
        <f t="shared" si="87"/>
        <v>L</v>
      </c>
      <c r="Y333" s="309"/>
      <c r="Z333" s="310">
        <f>(R333+S333+T333)*'1.0-Contractblad'!$L$37</f>
        <v>947.28451856443883</v>
      </c>
      <c r="AA333" s="310">
        <f ca="1">VLOOKUP(E333,'1.2-Jaarprijzen'!$B$51:$Q$88,16,FALSE)*K333</f>
        <v>0</v>
      </c>
      <c r="AC333" s="226">
        <f t="shared" si="88"/>
        <v>10138</v>
      </c>
      <c r="AD333" s="226" t="str">
        <f t="shared" si="89"/>
        <v>7200-200</v>
      </c>
    </row>
    <row r="334" spans="2:30" ht="12.5">
      <c r="B334" s="336"/>
      <c r="C334" s="337"/>
      <c r="D334" s="302">
        <f>VLOOKUP(E334,'1.2-Jaarprijzen'!B:G,6,FALSE)</f>
        <v>1</v>
      </c>
      <c r="E334" s="522" t="s">
        <v>84</v>
      </c>
      <c r="F334" s="302" t="s">
        <v>272</v>
      </c>
      <c r="G334" s="525" t="s">
        <v>489</v>
      </c>
      <c r="H334" s="524" t="s">
        <v>439</v>
      </c>
      <c r="I334" s="303" t="str">
        <f t="shared" si="79"/>
        <v>sanitaire ruimte (toilet-/doucheruimte)</v>
      </c>
      <c r="J334" s="302" t="s">
        <v>221</v>
      </c>
      <c r="K334" s="304">
        <v>5.25</v>
      </c>
      <c r="L334" s="304"/>
      <c r="M334" s="305">
        <v>4200</v>
      </c>
      <c r="N334" s="302"/>
      <c r="O334" s="306">
        <f t="shared" si="83"/>
        <v>200</v>
      </c>
      <c r="P334" s="472">
        <v>1</v>
      </c>
      <c r="Q334" s="472">
        <v>1</v>
      </c>
      <c r="R334" s="300">
        <f t="shared" si="84"/>
        <v>14.070629039886489</v>
      </c>
      <c r="S334" s="300">
        <f t="shared" si="85"/>
        <v>2.4830521835093804</v>
      </c>
      <c r="T334" s="300">
        <f t="shared" si="86"/>
        <v>0</v>
      </c>
      <c r="U334" s="307">
        <f t="shared" si="80"/>
        <v>2.6801198171212359</v>
      </c>
      <c r="V334" s="307">
        <f t="shared" si="81"/>
        <v>0.4729623206684534</v>
      </c>
      <c r="W334" s="307">
        <f t="shared" si="82"/>
        <v>0</v>
      </c>
      <c r="X334" s="308" t="str">
        <f t="shared" si="87"/>
        <v>S</v>
      </c>
      <c r="Y334" s="309"/>
      <c r="Z334" s="310">
        <f>(R334+S334+T334)*'1.0-Contractblad'!$L$37</f>
        <v>502.69677778225167</v>
      </c>
      <c r="AA334" s="310">
        <f ca="1">VLOOKUP(E334,'1.2-Jaarprijzen'!$B$51:$Q$88,16,FALSE)*K334</f>
        <v>0</v>
      </c>
      <c r="AC334" s="226">
        <f t="shared" si="88"/>
        <v>1050</v>
      </c>
      <c r="AD334" s="226" t="str">
        <f t="shared" si="89"/>
        <v>4200-200</v>
      </c>
    </row>
    <row r="335" spans="2:30" ht="12.5">
      <c r="B335" s="336"/>
      <c r="C335" s="337"/>
      <c r="D335" s="302">
        <f>VLOOKUP(E335,'1.2-Jaarprijzen'!B:G,6,FALSE)</f>
        <v>1</v>
      </c>
      <c r="E335" s="522" t="s">
        <v>84</v>
      </c>
      <c r="F335" s="302" t="s">
        <v>272</v>
      </c>
      <c r="G335" s="525" t="s">
        <v>490</v>
      </c>
      <c r="H335" s="523" t="s">
        <v>432</v>
      </c>
      <c r="I335" s="303" t="str">
        <f t="shared" si="79"/>
        <v>niet van toepassing</v>
      </c>
      <c r="J335" s="302" t="s">
        <v>221</v>
      </c>
      <c r="K335" s="304"/>
      <c r="L335" s="304">
        <v>1.96</v>
      </c>
      <c r="M335" s="305" t="s">
        <v>147</v>
      </c>
      <c r="N335" s="302"/>
      <c r="O335" s="306">
        <f t="shared" si="83"/>
        <v>0</v>
      </c>
      <c r="P335" s="472">
        <v>1</v>
      </c>
      <c r="Q335" s="472">
        <v>1</v>
      </c>
      <c r="R335" s="300">
        <f t="shared" si="84"/>
        <v>0</v>
      </c>
      <c r="S335" s="300">
        <f t="shared" si="85"/>
        <v>0</v>
      </c>
      <c r="T335" s="300">
        <f t="shared" si="86"/>
        <v>0</v>
      </c>
      <c r="U335" s="307">
        <f t="shared" si="80"/>
        <v>0</v>
      </c>
      <c r="V335" s="307">
        <f t="shared" si="81"/>
        <v>0</v>
      </c>
      <c r="W335" s="307">
        <f t="shared" si="82"/>
        <v>0</v>
      </c>
      <c r="X335" s="308">
        <f t="shared" si="87"/>
        <v>0</v>
      </c>
      <c r="Y335" s="309"/>
      <c r="Z335" s="310">
        <f>(R335+S335+T335)*'1.0-Contractblad'!$L$37</f>
        <v>0</v>
      </c>
      <c r="AA335" s="310">
        <f ca="1">VLOOKUP(E335,'1.2-Jaarprijzen'!$B$51:$Q$88,16,FALSE)*K335</f>
        <v>0</v>
      </c>
      <c r="AC335" s="226">
        <f t="shared" si="88"/>
        <v>0</v>
      </c>
      <c r="AD335" s="226" t="str">
        <f t="shared" si="89"/>
        <v>nvt-0</v>
      </c>
    </row>
    <row r="336" spans="2:30" ht="12.5">
      <c r="B336" s="336"/>
      <c r="C336" s="337"/>
      <c r="D336" s="302">
        <f>VLOOKUP(E336,'1.2-Jaarprijzen'!B:G,6,FALSE)</f>
        <v>1</v>
      </c>
      <c r="E336" s="522" t="s">
        <v>84</v>
      </c>
      <c r="F336" s="302" t="s">
        <v>272</v>
      </c>
      <c r="G336" s="525" t="s">
        <v>491</v>
      </c>
      <c r="H336" s="523" t="s">
        <v>362</v>
      </c>
      <c r="I336" s="303" t="str">
        <f t="shared" si="79"/>
        <v>trappenhuis</v>
      </c>
      <c r="J336" s="302" t="s">
        <v>435</v>
      </c>
      <c r="K336" s="304">
        <v>3.5999999999999996</v>
      </c>
      <c r="L336" s="304"/>
      <c r="M336" s="305">
        <v>9200</v>
      </c>
      <c r="N336" s="302"/>
      <c r="O336" s="306">
        <f t="shared" si="83"/>
        <v>200</v>
      </c>
      <c r="P336" s="472">
        <v>1</v>
      </c>
      <c r="Q336" s="472">
        <v>1</v>
      </c>
      <c r="R336" s="300">
        <f t="shared" si="84"/>
        <v>2.5406178730674558</v>
      </c>
      <c r="S336" s="300">
        <f t="shared" si="85"/>
        <v>0.15832836020565305</v>
      </c>
      <c r="T336" s="300">
        <f t="shared" si="86"/>
        <v>0</v>
      </c>
      <c r="U336" s="307">
        <f t="shared" si="80"/>
        <v>0.70572718696318226</v>
      </c>
      <c r="V336" s="307">
        <f t="shared" si="81"/>
        <v>4.3980100057125854E-2</v>
      </c>
      <c r="W336" s="307">
        <f t="shared" si="82"/>
        <v>0</v>
      </c>
      <c r="X336" s="308" t="str">
        <f t="shared" si="87"/>
        <v>V</v>
      </c>
      <c r="Y336" s="309"/>
      <c r="Z336" s="310">
        <f>(R336+S336+T336)*'1.0-Contractblad'!$L$37</f>
        <v>81.96071656595602</v>
      </c>
      <c r="AA336" s="310">
        <f ca="1">VLOOKUP(E336,'1.2-Jaarprijzen'!$B$51:$Q$88,16,FALSE)*K336</f>
        <v>0</v>
      </c>
      <c r="AC336" s="226">
        <f t="shared" si="88"/>
        <v>719.99999999999989</v>
      </c>
      <c r="AD336" s="226" t="str">
        <f t="shared" si="89"/>
        <v>9200-200</v>
      </c>
    </row>
    <row r="337" spans="2:30" ht="12.5">
      <c r="B337" s="336"/>
      <c r="C337" s="337"/>
      <c r="D337" s="302">
        <f>VLOOKUP(E337,'1.2-Jaarprijzen'!B:G,6,FALSE)</f>
        <v>1</v>
      </c>
      <c r="E337" s="522" t="s">
        <v>84</v>
      </c>
      <c r="F337" s="302" t="s">
        <v>272</v>
      </c>
      <c r="G337" s="525" t="s">
        <v>492</v>
      </c>
      <c r="H337" s="524" t="s">
        <v>207</v>
      </c>
      <c r="I337" s="303" t="str">
        <f t="shared" si="79"/>
        <v>niet van toepassing</v>
      </c>
      <c r="J337" s="302" t="s">
        <v>221</v>
      </c>
      <c r="K337" s="304"/>
      <c r="L337" s="304">
        <v>2.2999999999999998</v>
      </c>
      <c r="M337" s="305" t="s">
        <v>147</v>
      </c>
      <c r="N337" s="302"/>
      <c r="O337" s="306">
        <f t="shared" si="83"/>
        <v>0</v>
      </c>
      <c r="P337" s="472">
        <v>1</v>
      </c>
      <c r="Q337" s="472">
        <v>1</v>
      </c>
      <c r="R337" s="300">
        <f t="shared" si="84"/>
        <v>0</v>
      </c>
      <c r="S337" s="300">
        <f t="shared" si="85"/>
        <v>0</v>
      </c>
      <c r="T337" s="300">
        <f t="shared" si="86"/>
        <v>0</v>
      </c>
      <c r="U337" s="307">
        <f t="shared" si="80"/>
        <v>0</v>
      </c>
      <c r="V337" s="307">
        <f t="shared" si="81"/>
        <v>0</v>
      </c>
      <c r="W337" s="307">
        <f t="shared" si="82"/>
        <v>0</v>
      </c>
      <c r="X337" s="308">
        <f t="shared" si="87"/>
        <v>0</v>
      </c>
      <c r="Y337" s="309"/>
      <c r="Z337" s="310">
        <f>(R337+S337+T337)*'1.0-Contractblad'!$L$37</f>
        <v>0</v>
      </c>
      <c r="AA337" s="310">
        <f ca="1">VLOOKUP(E337,'1.2-Jaarprijzen'!$B$51:$Q$88,16,FALSE)*K337</f>
        <v>0</v>
      </c>
      <c r="AC337" s="226">
        <f t="shared" si="88"/>
        <v>0</v>
      </c>
      <c r="AD337" s="226" t="str">
        <f t="shared" si="89"/>
        <v>nvt-0</v>
      </c>
    </row>
    <row r="338" spans="2:30" ht="12.5">
      <c r="B338" s="336"/>
      <c r="C338" s="337"/>
      <c r="D338" s="302">
        <f>VLOOKUP(E338,'1.2-Jaarprijzen'!B:G,6,FALSE)</f>
        <v>1</v>
      </c>
      <c r="E338" s="522" t="s">
        <v>84</v>
      </c>
      <c r="F338" s="302" t="s">
        <v>272</v>
      </c>
      <c r="G338" s="525" t="s">
        <v>493</v>
      </c>
      <c r="H338" s="523" t="s">
        <v>220</v>
      </c>
      <c r="I338" s="303" t="str">
        <f t="shared" si="79"/>
        <v>sanitaire ruimte (toilet-/doucheruimte)</v>
      </c>
      <c r="J338" s="302" t="s">
        <v>221</v>
      </c>
      <c r="K338" s="304">
        <v>2.6</v>
      </c>
      <c r="L338" s="304"/>
      <c r="M338" s="305">
        <v>4200</v>
      </c>
      <c r="N338" s="302"/>
      <c r="O338" s="306">
        <f t="shared" si="83"/>
        <v>200</v>
      </c>
      <c r="P338" s="472">
        <v>1</v>
      </c>
      <c r="Q338" s="472">
        <v>1</v>
      </c>
      <c r="R338" s="300">
        <f t="shared" si="84"/>
        <v>6.9683115245152134</v>
      </c>
      <c r="S338" s="300">
        <f t="shared" si="85"/>
        <v>1.2297020337379789</v>
      </c>
      <c r="T338" s="300">
        <f t="shared" si="86"/>
        <v>0</v>
      </c>
      <c r="U338" s="307">
        <f t="shared" si="80"/>
        <v>2.6801198171212359</v>
      </c>
      <c r="V338" s="307">
        <f t="shared" si="81"/>
        <v>0.4729623206684534</v>
      </c>
      <c r="W338" s="307">
        <f t="shared" si="82"/>
        <v>0</v>
      </c>
      <c r="X338" s="308" t="str">
        <f t="shared" si="87"/>
        <v>S</v>
      </c>
      <c r="Y338" s="309"/>
      <c r="Z338" s="310">
        <f>(R338+S338+T338)*'1.0-Contractblad'!$L$37</f>
        <v>248.95459471121035</v>
      </c>
      <c r="AA338" s="310">
        <f ca="1">VLOOKUP(E338,'1.2-Jaarprijzen'!$B$51:$Q$88,16,FALSE)*K338</f>
        <v>0</v>
      </c>
      <c r="AC338" s="226">
        <f t="shared" si="88"/>
        <v>520</v>
      </c>
      <c r="AD338" s="226" t="str">
        <f t="shared" si="89"/>
        <v>4200-200</v>
      </c>
    </row>
    <row r="339" spans="2:30" ht="12.5">
      <c r="B339" s="336"/>
      <c r="C339" s="337"/>
      <c r="D339" s="302">
        <f>VLOOKUP(E339,'1.2-Jaarprijzen'!B:G,6,FALSE)</f>
        <v>1</v>
      </c>
      <c r="E339" s="522" t="s">
        <v>84</v>
      </c>
      <c r="F339" s="302" t="s">
        <v>272</v>
      </c>
      <c r="G339" s="525" t="s">
        <v>494</v>
      </c>
      <c r="H339" s="523" t="s">
        <v>464</v>
      </c>
      <c r="I339" s="303" t="str">
        <f t="shared" si="79"/>
        <v>entree, gang, hal, repro, kopieer, was/droogruimte</v>
      </c>
      <c r="J339" s="302" t="s">
        <v>221</v>
      </c>
      <c r="K339" s="304">
        <v>10.89</v>
      </c>
      <c r="L339" s="304"/>
      <c r="M339" s="305">
        <v>3200</v>
      </c>
      <c r="N339" s="302"/>
      <c r="O339" s="306">
        <f t="shared" si="83"/>
        <v>200</v>
      </c>
      <c r="P339" s="472">
        <v>1</v>
      </c>
      <c r="Q339" s="472">
        <v>1</v>
      </c>
      <c r="R339" s="300">
        <f t="shared" si="84"/>
        <v>4.0988635018821631</v>
      </c>
      <c r="S339" s="300">
        <f t="shared" si="85"/>
        <v>1.236341980187283</v>
      </c>
      <c r="T339" s="300">
        <f t="shared" si="86"/>
        <v>0</v>
      </c>
      <c r="U339" s="307">
        <f t="shared" si="80"/>
        <v>0.37638783304703055</v>
      </c>
      <c r="V339" s="307">
        <f t="shared" si="81"/>
        <v>0.11353002572885977</v>
      </c>
      <c r="W339" s="307">
        <f t="shared" si="82"/>
        <v>0</v>
      </c>
      <c r="X339" s="308" t="str">
        <f t="shared" si="87"/>
        <v>V</v>
      </c>
      <c r="Y339" s="309"/>
      <c r="Z339" s="310">
        <f>(R339+S339+T339)*'1.0-Contractblad'!$L$37</f>
        <v>162.01777528807116</v>
      </c>
      <c r="AA339" s="310">
        <f ca="1">VLOOKUP(E339,'1.2-Jaarprijzen'!$B$51:$Q$88,16,FALSE)*K339</f>
        <v>0</v>
      </c>
      <c r="AC339" s="226">
        <f t="shared" si="88"/>
        <v>2178</v>
      </c>
      <c r="AD339" s="226" t="str">
        <f t="shared" si="89"/>
        <v>3200-200</v>
      </c>
    </row>
    <row r="340" spans="2:30" ht="12.5">
      <c r="B340" s="336"/>
      <c r="C340" s="337"/>
      <c r="D340" s="302">
        <f>VLOOKUP(E340,'1.2-Jaarprijzen'!B:G,6,FALSE)</f>
        <v>1</v>
      </c>
      <c r="E340" s="522" t="s">
        <v>84</v>
      </c>
      <c r="F340" s="302" t="s">
        <v>272</v>
      </c>
      <c r="G340" s="525" t="s">
        <v>495</v>
      </c>
      <c r="H340" s="523" t="s">
        <v>362</v>
      </c>
      <c r="I340" s="303" t="str">
        <f t="shared" ref="I340:I403" si="90">IF($M340="",0,VLOOKUP($M340,Kengetal,4,FALSE))</f>
        <v>trappenhuis</v>
      </c>
      <c r="J340" s="302" t="s">
        <v>435</v>
      </c>
      <c r="K340" s="304">
        <v>3.5999999999999996</v>
      </c>
      <c r="L340" s="304"/>
      <c r="M340" s="305">
        <v>9200</v>
      </c>
      <c r="N340" s="302"/>
      <c r="O340" s="306">
        <f t="shared" si="83"/>
        <v>200</v>
      </c>
      <c r="P340" s="472">
        <v>1</v>
      </c>
      <c r="Q340" s="472">
        <v>1</v>
      </c>
      <c r="R340" s="300">
        <f t="shared" si="84"/>
        <v>2.5406178730674558</v>
      </c>
      <c r="S340" s="300">
        <f t="shared" si="85"/>
        <v>0.15832836020565305</v>
      </c>
      <c r="T340" s="300">
        <f t="shared" si="86"/>
        <v>0</v>
      </c>
      <c r="U340" s="307">
        <f t="shared" si="80"/>
        <v>0.70572718696318226</v>
      </c>
      <c r="V340" s="307">
        <f t="shared" si="81"/>
        <v>4.3980100057125854E-2</v>
      </c>
      <c r="W340" s="307">
        <f t="shared" si="82"/>
        <v>0</v>
      </c>
      <c r="X340" s="308" t="str">
        <f t="shared" si="87"/>
        <v>V</v>
      </c>
      <c r="Y340" s="309"/>
      <c r="Z340" s="310">
        <f>(R340+S340+T340)*'1.0-Contractblad'!$L$37</f>
        <v>81.96071656595602</v>
      </c>
      <c r="AA340" s="310">
        <f ca="1">VLOOKUP(E340,'1.2-Jaarprijzen'!$B$51:$Q$88,16,FALSE)*K340</f>
        <v>0</v>
      </c>
      <c r="AC340" s="226">
        <f t="shared" si="88"/>
        <v>719.99999999999989</v>
      </c>
      <c r="AD340" s="226" t="str">
        <f t="shared" si="89"/>
        <v>9200-200</v>
      </c>
    </row>
    <row r="341" spans="2:30" ht="12.5">
      <c r="B341" s="336"/>
      <c r="C341" s="337"/>
      <c r="D341" s="302">
        <f>VLOOKUP(E341,'1.2-Jaarprijzen'!B:G,6,FALSE)</f>
        <v>1</v>
      </c>
      <c r="E341" s="522" t="s">
        <v>84</v>
      </c>
      <c r="F341" s="302" t="s">
        <v>272</v>
      </c>
      <c r="G341" s="525" t="s">
        <v>496</v>
      </c>
      <c r="H341" s="523" t="s">
        <v>207</v>
      </c>
      <c r="I341" s="303" t="str">
        <f t="shared" si="90"/>
        <v>niet van toepassing</v>
      </c>
      <c r="J341" s="302" t="s">
        <v>221</v>
      </c>
      <c r="K341" s="304"/>
      <c r="L341" s="304">
        <v>6.72</v>
      </c>
      <c r="M341" s="305" t="s">
        <v>147</v>
      </c>
      <c r="N341" s="302"/>
      <c r="O341" s="306">
        <f t="shared" si="83"/>
        <v>0</v>
      </c>
      <c r="P341" s="472">
        <v>1</v>
      </c>
      <c r="Q341" s="472">
        <v>1</v>
      </c>
      <c r="R341" s="300">
        <f t="shared" si="84"/>
        <v>0</v>
      </c>
      <c r="S341" s="300">
        <f t="shared" si="85"/>
        <v>0</v>
      </c>
      <c r="T341" s="300">
        <f t="shared" si="86"/>
        <v>0</v>
      </c>
      <c r="U341" s="307">
        <f t="shared" si="80"/>
        <v>0</v>
      </c>
      <c r="V341" s="307">
        <f t="shared" si="81"/>
        <v>0</v>
      </c>
      <c r="W341" s="307">
        <f t="shared" si="82"/>
        <v>0</v>
      </c>
      <c r="X341" s="308">
        <f t="shared" si="87"/>
        <v>0</v>
      </c>
      <c r="Y341" s="309"/>
      <c r="Z341" s="310">
        <f>(R341+S341+T341)*'1.0-Contractblad'!$L$37</f>
        <v>0</v>
      </c>
      <c r="AA341" s="310">
        <f ca="1">VLOOKUP(E341,'1.2-Jaarprijzen'!$B$51:$Q$88,16,FALSE)*K341</f>
        <v>0</v>
      </c>
      <c r="AC341" s="226">
        <f t="shared" si="88"/>
        <v>0</v>
      </c>
      <c r="AD341" s="226" t="str">
        <f t="shared" si="89"/>
        <v>nvt-0</v>
      </c>
    </row>
    <row r="342" spans="2:30" ht="12.5">
      <c r="B342" s="336"/>
      <c r="C342" s="337"/>
      <c r="D342" s="302">
        <f>VLOOKUP(E342,'1.2-Jaarprijzen'!B:G,6,FALSE)</f>
        <v>1</v>
      </c>
      <c r="E342" s="522" t="s">
        <v>84</v>
      </c>
      <c r="F342" s="302" t="s">
        <v>272</v>
      </c>
      <c r="G342" s="525" t="s">
        <v>497</v>
      </c>
      <c r="H342" s="523" t="s">
        <v>142</v>
      </c>
      <c r="I342" s="303" t="str">
        <f t="shared" si="90"/>
        <v>niet van toepassing</v>
      </c>
      <c r="J342" s="302" t="s">
        <v>221</v>
      </c>
      <c r="K342" s="304"/>
      <c r="L342" s="304">
        <v>317.72000000000003</v>
      </c>
      <c r="M342" s="305" t="s">
        <v>147</v>
      </c>
      <c r="N342" s="302"/>
      <c r="O342" s="306">
        <f t="shared" si="83"/>
        <v>0</v>
      </c>
      <c r="P342" s="472">
        <v>1</v>
      </c>
      <c r="Q342" s="472">
        <v>1</v>
      </c>
      <c r="R342" s="300">
        <f t="shared" si="84"/>
        <v>0</v>
      </c>
      <c r="S342" s="300">
        <f t="shared" si="85"/>
        <v>0</v>
      </c>
      <c r="T342" s="300">
        <f t="shared" si="86"/>
        <v>0</v>
      </c>
      <c r="U342" s="307">
        <f t="shared" si="80"/>
        <v>0</v>
      </c>
      <c r="V342" s="307">
        <f t="shared" si="81"/>
        <v>0</v>
      </c>
      <c r="W342" s="307">
        <f t="shared" si="82"/>
        <v>0</v>
      </c>
      <c r="X342" s="308">
        <f t="shared" si="87"/>
        <v>0</v>
      </c>
      <c r="Y342" s="309" t="s">
        <v>498</v>
      </c>
      <c r="Z342" s="310">
        <f>(R342+S342+T342)*'1.0-Contractblad'!$L$37</f>
        <v>0</v>
      </c>
      <c r="AA342" s="310">
        <f ca="1">VLOOKUP(E342,'1.2-Jaarprijzen'!$B$51:$Q$88,16,FALSE)*K342</f>
        <v>0</v>
      </c>
      <c r="AC342" s="226">
        <f t="shared" si="88"/>
        <v>0</v>
      </c>
      <c r="AD342" s="226" t="str">
        <f t="shared" si="89"/>
        <v>nvt-0</v>
      </c>
    </row>
    <row r="343" spans="2:30" ht="12.5">
      <c r="B343" s="336"/>
      <c r="C343" s="337"/>
      <c r="D343" s="302">
        <f>VLOOKUP(E343,'1.2-Jaarprijzen'!B:G,6,FALSE)</f>
        <v>1</v>
      </c>
      <c r="E343" s="522" t="s">
        <v>84</v>
      </c>
      <c r="F343" s="302" t="s">
        <v>272</v>
      </c>
      <c r="G343" s="525" t="s">
        <v>499</v>
      </c>
      <c r="H343" s="523" t="s">
        <v>207</v>
      </c>
      <c r="I343" s="303" t="str">
        <f t="shared" si="90"/>
        <v>niet van toepassing</v>
      </c>
      <c r="J343" s="302" t="s">
        <v>221</v>
      </c>
      <c r="K343" s="304"/>
      <c r="L343" s="304">
        <v>46.2</v>
      </c>
      <c r="M343" s="305" t="s">
        <v>147</v>
      </c>
      <c r="N343" s="302"/>
      <c r="O343" s="306">
        <f t="shared" si="83"/>
        <v>0</v>
      </c>
      <c r="P343" s="472">
        <v>1</v>
      </c>
      <c r="Q343" s="472">
        <v>1</v>
      </c>
      <c r="R343" s="300">
        <f t="shared" si="84"/>
        <v>0</v>
      </c>
      <c r="S343" s="300">
        <f t="shared" si="85"/>
        <v>0</v>
      </c>
      <c r="T343" s="300">
        <f t="shared" si="86"/>
        <v>0</v>
      </c>
      <c r="U343" s="307">
        <f t="shared" si="80"/>
        <v>0</v>
      </c>
      <c r="V343" s="307">
        <f t="shared" si="81"/>
        <v>0</v>
      </c>
      <c r="W343" s="307">
        <f t="shared" si="82"/>
        <v>0</v>
      </c>
      <c r="X343" s="308">
        <f t="shared" si="87"/>
        <v>0</v>
      </c>
      <c r="Y343" s="309" t="s">
        <v>498</v>
      </c>
      <c r="Z343" s="310">
        <f>(R343+S343+T343)*'1.0-Contractblad'!$L$37</f>
        <v>0</v>
      </c>
      <c r="AA343" s="310">
        <f ca="1">VLOOKUP(E343,'1.2-Jaarprijzen'!$B$51:$Q$88,16,FALSE)*K343</f>
        <v>0</v>
      </c>
      <c r="AC343" s="226">
        <f t="shared" si="88"/>
        <v>0</v>
      </c>
      <c r="AD343" s="226" t="str">
        <f t="shared" si="89"/>
        <v>nvt-0</v>
      </c>
    </row>
    <row r="344" spans="2:30" ht="12.5">
      <c r="B344" s="336"/>
      <c r="C344" s="337"/>
      <c r="D344" s="302">
        <f>VLOOKUP(E344,'1.2-Jaarprijzen'!B:G,6,FALSE)</f>
        <v>1</v>
      </c>
      <c r="E344" s="522" t="s">
        <v>84</v>
      </c>
      <c r="F344" s="302" t="s">
        <v>272</v>
      </c>
      <c r="G344" s="525" t="s">
        <v>500</v>
      </c>
      <c r="H344" s="523" t="s">
        <v>256</v>
      </c>
      <c r="I344" s="303" t="str">
        <f t="shared" si="90"/>
        <v>niet van toepassing</v>
      </c>
      <c r="J344" s="302" t="s">
        <v>221</v>
      </c>
      <c r="K344" s="304"/>
      <c r="L344" s="304">
        <v>27.3</v>
      </c>
      <c r="M344" s="305" t="s">
        <v>147</v>
      </c>
      <c r="N344" s="302"/>
      <c r="O344" s="306">
        <f t="shared" si="83"/>
        <v>0</v>
      </c>
      <c r="P344" s="472">
        <v>1</v>
      </c>
      <c r="Q344" s="472">
        <v>1</v>
      </c>
      <c r="R344" s="300">
        <f t="shared" si="84"/>
        <v>0</v>
      </c>
      <c r="S344" s="300">
        <f t="shared" si="85"/>
        <v>0</v>
      </c>
      <c r="T344" s="300">
        <f t="shared" si="86"/>
        <v>0</v>
      </c>
      <c r="U344" s="307">
        <f t="shared" si="80"/>
        <v>0</v>
      </c>
      <c r="V344" s="307">
        <f t="shared" si="81"/>
        <v>0</v>
      </c>
      <c r="W344" s="307">
        <f t="shared" si="82"/>
        <v>0</v>
      </c>
      <c r="X344" s="308">
        <f t="shared" si="87"/>
        <v>0</v>
      </c>
      <c r="Y344" s="309" t="s">
        <v>498</v>
      </c>
      <c r="Z344" s="310">
        <f>(R344+S344+T344)*'1.0-Contractblad'!$L$37</f>
        <v>0</v>
      </c>
      <c r="AA344" s="310">
        <f ca="1">VLOOKUP(E344,'1.2-Jaarprijzen'!$B$51:$Q$88,16,FALSE)*K344</f>
        <v>0</v>
      </c>
      <c r="AC344" s="226">
        <f t="shared" si="88"/>
        <v>0</v>
      </c>
      <c r="AD344" s="226" t="str">
        <f t="shared" si="89"/>
        <v>nvt-0</v>
      </c>
    </row>
    <row r="345" spans="2:30" ht="12.5">
      <c r="B345" s="336"/>
      <c r="C345" s="337"/>
      <c r="D345" s="302">
        <f>VLOOKUP(E345,'1.2-Jaarprijzen'!B:G,6,FALSE)</f>
        <v>1</v>
      </c>
      <c r="E345" s="522" t="s">
        <v>84</v>
      </c>
      <c r="F345" s="302" t="s">
        <v>272</v>
      </c>
      <c r="G345" s="525" t="s">
        <v>501</v>
      </c>
      <c r="H345" s="524" t="s">
        <v>439</v>
      </c>
      <c r="I345" s="303" t="str">
        <f t="shared" si="90"/>
        <v>niet van toepassing</v>
      </c>
      <c r="J345" s="302" t="s">
        <v>221</v>
      </c>
      <c r="K345" s="304"/>
      <c r="L345" s="304">
        <v>3.06</v>
      </c>
      <c r="M345" s="305" t="s">
        <v>147</v>
      </c>
      <c r="N345" s="302"/>
      <c r="O345" s="306">
        <f t="shared" si="83"/>
        <v>0</v>
      </c>
      <c r="P345" s="472">
        <v>1</v>
      </c>
      <c r="Q345" s="472">
        <v>1</v>
      </c>
      <c r="R345" s="300">
        <f t="shared" si="84"/>
        <v>0</v>
      </c>
      <c r="S345" s="300">
        <f t="shared" si="85"/>
        <v>0</v>
      </c>
      <c r="T345" s="300">
        <f t="shared" si="86"/>
        <v>0</v>
      </c>
      <c r="U345" s="307">
        <f t="shared" si="80"/>
        <v>0</v>
      </c>
      <c r="V345" s="307">
        <f t="shared" si="81"/>
        <v>0</v>
      </c>
      <c r="W345" s="307">
        <f t="shared" si="82"/>
        <v>0</v>
      </c>
      <c r="X345" s="308">
        <f t="shared" si="87"/>
        <v>0</v>
      </c>
      <c r="Y345" s="309" t="s">
        <v>498</v>
      </c>
      <c r="Z345" s="310">
        <f>(R345+S345+T345)*'1.0-Contractblad'!$L$37</f>
        <v>0</v>
      </c>
      <c r="AA345" s="310">
        <f ca="1">VLOOKUP(E345,'1.2-Jaarprijzen'!$B$51:$Q$88,16,FALSE)*K345</f>
        <v>0</v>
      </c>
      <c r="AC345" s="226">
        <f t="shared" si="88"/>
        <v>0</v>
      </c>
      <c r="AD345" s="226" t="str">
        <f t="shared" si="89"/>
        <v>nvt-0</v>
      </c>
    </row>
    <row r="346" spans="2:30" ht="12.5">
      <c r="B346" s="336"/>
      <c r="C346" s="337"/>
      <c r="D346" s="302">
        <f>VLOOKUP(E346,'1.2-Jaarprijzen'!B:G,6,FALSE)</f>
        <v>1</v>
      </c>
      <c r="E346" s="522" t="s">
        <v>84</v>
      </c>
      <c r="F346" s="302" t="s">
        <v>272</v>
      </c>
      <c r="G346" s="525" t="s">
        <v>502</v>
      </c>
      <c r="H346" s="523" t="s">
        <v>256</v>
      </c>
      <c r="I346" s="303" t="str">
        <f t="shared" si="90"/>
        <v>niet van toepassing</v>
      </c>
      <c r="J346" s="302" t="s">
        <v>221</v>
      </c>
      <c r="K346" s="304"/>
      <c r="L346" s="304">
        <v>23.7</v>
      </c>
      <c r="M346" s="305" t="s">
        <v>147</v>
      </c>
      <c r="N346" s="302"/>
      <c r="O346" s="306">
        <f t="shared" si="83"/>
        <v>0</v>
      </c>
      <c r="P346" s="472">
        <v>1</v>
      </c>
      <c r="Q346" s="472">
        <v>1</v>
      </c>
      <c r="R346" s="300">
        <f t="shared" si="84"/>
        <v>0</v>
      </c>
      <c r="S346" s="300">
        <f t="shared" si="85"/>
        <v>0</v>
      </c>
      <c r="T346" s="300">
        <f t="shared" si="86"/>
        <v>0</v>
      </c>
      <c r="U346" s="307">
        <f t="shared" si="80"/>
        <v>0</v>
      </c>
      <c r="V346" s="307">
        <f t="shared" si="81"/>
        <v>0</v>
      </c>
      <c r="W346" s="307">
        <f t="shared" si="82"/>
        <v>0</v>
      </c>
      <c r="X346" s="308">
        <f t="shared" si="87"/>
        <v>0</v>
      </c>
      <c r="Y346" s="309" t="s">
        <v>498</v>
      </c>
      <c r="Z346" s="310">
        <f>(R346+S346+T346)*'1.0-Contractblad'!$L$37</f>
        <v>0</v>
      </c>
      <c r="AA346" s="310">
        <f ca="1">VLOOKUP(E346,'1.2-Jaarprijzen'!$B$51:$Q$88,16,FALSE)*K346</f>
        <v>0</v>
      </c>
      <c r="AC346" s="226">
        <f t="shared" si="88"/>
        <v>0</v>
      </c>
      <c r="AD346" s="226" t="str">
        <f t="shared" si="89"/>
        <v>nvt-0</v>
      </c>
    </row>
    <row r="347" spans="2:30" ht="12.5">
      <c r="B347" s="336"/>
      <c r="C347" s="337"/>
      <c r="D347" s="302">
        <f>VLOOKUP(E347,'1.2-Jaarprijzen'!B:G,6,FALSE)</f>
        <v>1</v>
      </c>
      <c r="E347" s="522" t="s">
        <v>84</v>
      </c>
      <c r="F347" s="302" t="s">
        <v>272</v>
      </c>
      <c r="G347" s="525" t="s">
        <v>503</v>
      </c>
      <c r="H347" s="523" t="s">
        <v>256</v>
      </c>
      <c r="I347" s="303" t="str">
        <f t="shared" si="90"/>
        <v>niet van toepassing</v>
      </c>
      <c r="J347" s="302" t="s">
        <v>221</v>
      </c>
      <c r="K347" s="304"/>
      <c r="L347" s="304">
        <v>12.11</v>
      </c>
      <c r="M347" s="305" t="s">
        <v>147</v>
      </c>
      <c r="N347" s="302"/>
      <c r="O347" s="306">
        <f t="shared" si="83"/>
        <v>0</v>
      </c>
      <c r="P347" s="472">
        <v>1</v>
      </c>
      <c r="Q347" s="472">
        <v>1</v>
      </c>
      <c r="R347" s="300">
        <f t="shared" si="84"/>
        <v>0</v>
      </c>
      <c r="S347" s="300">
        <f t="shared" si="85"/>
        <v>0</v>
      </c>
      <c r="T347" s="300">
        <f t="shared" si="86"/>
        <v>0</v>
      </c>
      <c r="U347" s="307">
        <f t="shared" si="80"/>
        <v>0</v>
      </c>
      <c r="V347" s="307">
        <f t="shared" si="81"/>
        <v>0</v>
      </c>
      <c r="W347" s="307">
        <f t="shared" si="82"/>
        <v>0</v>
      </c>
      <c r="X347" s="308">
        <f t="shared" si="87"/>
        <v>0</v>
      </c>
      <c r="Y347" s="309" t="s">
        <v>498</v>
      </c>
      <c r="Z347" s="310">
        <f>(R347+S347+T347)*'1.0-Contractblad'!$L$37</f>
        <v>0</v>
      </c>
      <c r="AA347" s="310">
        <f ca="1">VLOOKUP(E347,'1.2-Jaarprijzen'!$B$51:$Q$88,16,FALSE)*K347</f>
        <v>0</v>
      </c>
      <c r="AC347" s="226">
        <f t="shared" si="88"/>
        <v>0</v>
      </c>
      <c r="AD347" s="226" t="str">
        <f t="shared" si="89"/>
        <v>nvt-0</v>
      </c>
    </row>
    <row r="348" spans="2:30" ht="12.5">
      <c r="B348" s="336"/>
      <c r="C348" s="337"/>
      <c r="D348" s="302">
        <f>VLOOKUP(E348,'1.2-Jaarprijzen'!B:G,6,FALSE)</f>
        <v>1</v>
      </c>
      <c r="E348" s="522" t="s">
        <v>84</v>
      </c>
      <c r="F348" s="302" t="s">
        <v>272</v>
      </c>
      <c r="G348" s="525" t="s">
        <v>504</v>
      </c>
      <c r="H348" s="524" t="s">
        <v>439</v>
      </c>
      <c r="I348" s="303" t="str">
        <f t="shared" si="90"/>
        <v>niet van toepassing</v>
      </c>
      <c r="J348" s="302" t="s">
        <v>221</v>
      </c>
      <c r="K348" s="304"/>
      <c r="L348" s="304">
        <v>3.77</v>
      </c>
      <c r="M348" s="305" t="s">
        <v>147</v>
      </c>
      <c r="N348" s="302"/>
      <c r="O348" s="306">
        <f t="shared" si="83"/>
        <v>0</v>
      </c>
      <c r="P348" s="472">
        <v>1</v>
      </c>
      <c r="Q348" s="472">
        <v>1</v>
      </c>
      <c r="R348" s="300">
        <f t="shared" si="84"/>
        <v>0</v>
      </c>
      <c r="S348" s="300">
        <f t="shared" si="85"/>
        <v>0</v>
      </c>
      <c r="T348" s="300">
        <f t="shared" si="86"/>
        <v>0</v>
      </c>
      <c r="U348" s="307">
        <f t="shared" si="80"/>
        <v>0</v>
      </c>
      <c r="V348" s="307">
        <f t="shared" si="81"/>
        <v>0</v>
      </c>
      <c r="W348" s="307">
        <f t="shared" si="82"/>
        <v>0</v>
      </c>
      <c r="X348" s="308">
        <f t="shared" si="87"/>
        <v>0</v>
      </c>
      <c r="Y348" s="309" t="s">
        <v>498</v>
      </c>
      <c r="Z348" s="310">
        <f>(R348+S348+T348)*'1.0-Contractblad'!$L$37</f>
        <v>0</v>
      </c>
      <c r="AA348" s="310">
        <f ca="1">VLOOKUP(E348,'1.2-Jaarprijzen'!$B$51:$Q$88,16,FALSE)*K348</f>
        <v>0</v>
      </c>
      <c r="AC348" s="226">
        <f t="shared" si="88"/>
        <v>0</v>
      </c>
      <c r="AD348" s="226" t="str">
        <f t="shared" si="89"/>
        <v>nvt-0</v>
      </c>
    </row>
    <row r="349" spans="2:30" ht="12.5">
      <c r="B349" s="336"/>
      <c r="C349" s="337"/>
      <c r="D349" s="302">
        <f>VLOOKUP(E349,'1.2-Jaarprijzen'!B:G,6,FALSE)</f>
        <v>1</v>
      </c>
      <c r="E349" s="522" t="s">
        <v>84</v>
      </c>
      <c r="F349" s="302" t="s">
        <v>368</v>
      </c>
      <c r="G349" s="525" t="s">
        <v>369</v>
      </c>
      <c r="H349" s="523" t="s">
        <v>464</v>
      </c>
      <c r="I349" s="303" t="str">
        <f t="shared" si="90"/>
        <v>entree, gang, hal, repro, kopieer, was/droogruimte</v>
      </c>
      <c r="J349" s="302" t="s">
        <v>221</v>
      </c>
      <c r="K349" s="304">
        <v>10.119999999999999</v>
      </c>
      <c r="L349" s="304"/>
      <c r="M349" s="305">
        <v>3200</v>
      </c>
      <c r="N349" s="302"/>
      <c r="O349" s="306">
        <f t="shared" si="83"/>
        <v>200</v>
      </c>
      <c r="P349" s="472">
        <v>1</v>
      </c>
      <c r="Q349" s="472">
        <v>1</v>
      </c>
      <c r="R349" s="300">
        <f t="shared" si="84"/>
        <v>3.8090448704359487</v>
      </c>
      <c r="S349" s="300">
        <f t="shared" si="85"/>
        <v>1.1489238603760608</v>
      </c>
      <c r="T349" s="300">
        <f t="shared" si="86"/>
        <v>0</v>
      </c>
      <c r="U349" s="307">
        <f t="shared" si="80"/>
        <v>0.37638783304703055</v>
      </c>
      <c r="V349" s="307">
        <f t="shared" si="81"/>
        <v>0.11353002572885977</v>
      </c>
      <c r="W349" s="307">
        <f t="shared" si="82"/>
        <v>0</v>
      </c>
      <c r="X349" s="308" t="str">
        <f t="shared" si="87"/>
        <v>V</v>
      </c>
      <c r="Y349" s="309"/>
      <c r="Z349" s="310">
        <f>(R349+S349+T349)*'1.0-Contractblad'!$L$37</f>
        <v>150.56197299497521</v>
      </c>
      <c r="AA349" s="310">
        <f ca="1">VLOOKUP(E349,'1.2-Jaarprijzen'!$B$51:$Q$88,16,FALSE)*K349</f>
        <v>0</v>
      </c>
      <c r="AC349" s="226">
        <f t="shared" si="88"/>
        <v>2023.9999999999998</v>
      </c>
      <c r="AD349" s="226" t="str">
        <f t="shared" si="89"/>
        <v>3200-200</v>
      </c>
    </row>
    <row r="350" spans="2:30" ht="12.5">
      <c r="B350" s="336"/>
      <c r="C350" s="337"/>
      <c r="D350" s="302">
        <f>VLOOKUP(E350,'1.2-Jaarprijzen'!B:G,6,FALSE)</f>
        <v>1</v>
      </c>
      <c r="E350" s="522" t="s">
        <v>84</v>
      </c>
      <c r="F350" s="302" t="s">
        <v>368</v>
      </c>
      <c r="G350" s="525" t="s">
        <v>372</v>
      </c>
      <c r="H350" s="523" t="s">
        <v>432</v>
      </c>
      <c r="I350" s="303" t="str">
        <f t="shared" si="90"/>
        <v>niet van toepassing</v>
      </c>
      <c r="J350" s="302" t="s">
        <v>221</v>
      </c>
      <c r="K350" s="304"/>
      <c r="L350" s="304">
        <v>112.71</v>
      </c>
      <c r="M350" s="305" t="s">
        <v>147</v>
      </c>
      <c r="N350" s="302"/>
      <c r="O350" s="306">
        <f t="shared" si="83"/>
        <v>0</v>
      </c>
      <c r="P350" s="472">
        <v>1</v>
      </c>
      <c r="Q350" s="472">
        <v>1</v>
      </c>
      <c r="R350" s="300">
        <f t="shared" si="84"/>
        <v>0</v>
      </c>
      <c r="S350" s="300">
        <f t="shared" si="85"/>
        <v>0</v>
      </c>
      <c r="T350" s="300">
        <f t="shared" si="86"/>
        <v>0</v>
      </c>
      <c r="U350" s="307">
        <f t="shared" ref="U350:U413" si="91">IF($M350=0,0,VLOOKUP($M350,Kengetal,6,FALSE))</f>
        <v>0</v>
      </c>
      <c r="V350" s="307">
        <f t="shared" ref="V350:V413" si="92">IF($M350=0,0,VLOOKUP($M350,Kengetal,7,FALSE))</f>
        <v>0</v>
      </c>
      <c r="W350" s="307">
        <f t="shared" ref="W350:W413" si="93">IF($N350=0,0,VLOOKUP($N350,Kengetal,6,FALSE))</f>
        <v>0</v>
      </c>
      <c r="X350" s="308">
        <f t="shared" si="87"/>
        <v>0</v>
      </c>
      <c r="Y350" s="309"/>
      <c r="Z350" s="310">
        <f>(R350+S350+T350)*'1.0-Contractblad'!$L$37</f>
        <v>0</v>
      </c>
      <c r="AA350" s="310">
        <f ca="1">VLOOKUP(E350,'1.2-Jaarprijzen'!$B$51:$Q$88,16,FALSE)*K350</f>
        <v>0</v>
      </c>
      <c r="AC350" s="226">
        <f t="shared" si="88"/>
        <v>0</v>
      </c>
      <c r="AD350" s="226" t="str">
        <f t="shared" si="89"/>
        <v>nvt-0</v>
      </c>
    </row>
    <row r="351" spans="2:30" ht="12.5">
      <c r="B351" s="336"/>
      <c r="C351" s="337"/>
      <c r="D351" s="302">
        <f>VLOOKUP(E351,'1.2-Jaarprijzen'!B:G,6,FALSE)</f>
        <v>1</v>
      </c>
      <c r="E351" s="522" t="s">
        <v>84</v>
      </c>
      <c r="F351" s="302" t="s">
        <v>368</v>
      </c>
      <c r="G351" s="525" t="s">
        <v>373</v>
      </c>
      <c r="H351" s="523" t="s">
        <v>505</v>
      </c>
      <c r="I351" s="303" t="str">
        <f t="shared" si="90"/>
        <v>niet van toepassing</v>
      </c>
      <c r="J351" s="302" t="s">
        <v>221</v>
      </c>
      <c r="K351" s="304"/>
      <c r="L351" s="304">
        <v>90.38</v>
      </c>
      <c r="M351" s="305" t="s">
        <v>147</v>
      </c>
      <c r="N351" s="302"/>
      <c r="O351" s="306">
        <f t="shared" si="83"/>
        <v>0</v>
      </c>
      <c r="P351" s="472">
        <v>1</v>
      </c>
      <c r="Q351" s="472">
        <v>1</v>
      </c>
      <c r="R351" s="300">
        <f t="shared" si="84"/>
        <v>0</v>
      </c>
      <c r="S351" s="300">
        <f t="shared" si="85"/>
        <v>0</v>
      </c>
      <c r="T351" s="300">
        <f t="shared" si="86"/>
        <v>0</v>
      </c>
      <c r="U351" s="307">
        <f t="shared" si="91"/>
        <v>0</v>
      </c>
      <c r="V351" s="307">
        <f t="shared" si="92"/>
        <v>0</v>
      </c>
      <c r="W351" s="307">
        <f t="shared" si="93"/>
        <v>0</v>
      </c>
      <c r="X351" s="308">
        <f t="shared" si="87"/>
        <v>0</v>
      </c>
      <c r="Y351" s="309"/>
      <c r="Z351" s="310">
        <f>(R351+S351+T351)*'1.0-Contractblad'!$L$37</f>
        <v>0</v>
      </c>
      <c r="AA351" s="310">
        <f ca="1">VLOOKUP(E351,'1.2-Jaarprijzen'!$B$51:$Q$88,16,FALSE)*K351</f>
        <v>0</v>
      </c>
      <c r="AC351" s="226">
        <f t="shared" si="88"/>
        <v>0</v>
      </c>
      <c r="AD351" s="226" t="str">
        <f t="shared" si="89"/>
        <v>nvt-0</v>
      </c>
    </row>
    <row r="352" spans="2:30" ht="12.5">
      <c r="B352" s="336"/>
      <c r="C352" s="337"/>
      <c r="D352" s="302">
        <f>VLOOKUP(E352,'1.2-Jaarprijzen'!B:G,6,FALSE)</f>
        <v>1</v>
      </c>
      <c r="E352" s="522" t="s">
        <v>84</v>
      </c>
      <c r="F352" s="302" t="s">
        <v>368</v>
      </c>
      <c r="G352" s="525" t="s">
        <v>375</v>
      </c>
      <c r="H352" s="523" t="s">
        <v>437</v>
      </c>
      <c r="I352" s="303" t="str">
        <f t="shared" si="90"/>
        <v>leslokaal/leerplein</v>
      </c>
      <c r="J352" s="302" t="s">
        <v>221</v>
      </c>
      <c r="K352" s="304">
        <v>55.97</v>
      </c>
      <c r="L352" s="304"/>
      <c r="M352" s="305">
        <v>7200</v>
      </c>
      <c r="N352" s="302"/>
      <c r="O352" s="306">
        <f t="shared" si="83"/>
        <v>200</v>
      </c>
      <c r="P352" s="472">
        <v>1</v>
      </c>
      <c r="Q352" s="472">
        <v>1</v>
      </c>
      <c r="R352" s="300">
        <f t="shared" si="84"/>
        <v>29.276615384615386</v>
      </c>
      <c r="S352" s="300">
        <f t="shared" si="85"/>
        <v>5.1664615384615384</v>
      </c>
      <c r="T352" s="300">
        <f t="shared" si="86"/>
        <v>0</v>
      </c>
      <c r="U352" s="307">
        <f t="shared" si="91"/>
        <v>0.52307692307692311</v>
      </c>
      <c r="V352" s="307">
        <f t="shared" si="92"/>
        <v>9.2307692307692313E-2</v>
      </c>
      <c r="W352" s="307">
        <f t="shared" si="93"/>
        <v>0</v>
      </c>
      <c r="X352" s="308" t="str">
        <f t="shared" si="87"/>
        <v>L</v>
      </c>
      <c r="Y352" s="309"/>
      <c r="Z352" s="310">
        <f>(R352+S352+T352)*'1.0-Contractblad'!$L$37</f>
        <v>1045.9560959568284</v>
      </c>
      <c r="AA352" s="310">
        <f ca="1">VLOOKUP(E352,'1.2-Jaarprijzen'!$B$51:$Q$88,16,FALSE)*K352</f>
        <v>0</v>
      </c>
      <c r="AC352" s="226">
        <f t="shared" si="88"/>
        <v>11194</v>
      </c>
      <c r="AD352" s="226" t="str">
        <f t="shared" si="89"/>
        <v>7200-200</v>
      </c>
    </row>
    <row r="353" spans="2:30" ht="12.5">
      <c r="B353" s="336"/>
      <c r="C353" s="337"/>
      <c r="D353" s="302">
        <f>VLOOKUP(E353,'1.2-Jaarprijzen'!B:G,6,FALSE)</f>
        <v>1</v>
      </c>
      <c r="E353" s="522" t="s">
        <v>84</v>
      </c>
      <c r="F353" s="302" t="s">
        <v>368</v>
      </c>
      <c r="G353" s="525" t="s">
        <v>376</v>
      </c>
      <c r="H353" s="524" t="s">
        <v>439</v>
      </c>
      <c r="I353" s="303" t="str">
        <f t="shared" si="90"/>
        <v>sanitaire ruimte (toilet-/doucheruimte)</v>
      </c>
      <c r="J353" s="302" t="s">
        <v>221</v>
      </c>
      <c r="K353" s="304">
        <v>5.6</v>
      </c>
      <c r="L353" s="304"/>
      <c r="M353" s="305">
        <v>4200</v>
      </c>
      <c r="N353" s="302"/>
      <c r="O353" s="306">
        <f t="shared" si="83"/>
        <v>200</v>
      </c>
      <c r="P353" s="472">
        <v>1</v>
      </c>
      <c r="Q353" s="472">
        <v>1</v>
      </c>
      <c r="R353" s="300">
        <f t="shared" si="84"/>
        <v>15.008670975878919</v>
      </c>
      <c r="S353" s="300">
        <f t="shared" si="85"/>
        <v>2.6485889957433391</v>
      </c>
      <c r="T353" s="300">
        <f t="shared" si="86"/>
        <v>0</v>
      </c>
      <c r="U353" s="307">
        <f t="shared" si="91"/>
        <v>2.6801198171212359</v>
      </c>
      <c r="V353" s="307">
        <f t="shared" si="92"/>
        <v>0.4729623206684534</v>
      </c>
      <c r="W353" s="307">
        <f t="shared" si="93"/>
        <v>0</v>
      </c>
      <c r="X353" s="308" t="str">
        <f t="shared" si="87"/>
        <v>S</v>
      </c>
      <c r="Y353" s="309"/>
      <c r="Z353" s="310">
        <f>(R353+S353+T353)*'1.0-Contractblad'!$L$37</f>
        <v>536.2098963010684</v>
      </c>
      <c r="AA353" s="310">
        <f ca="1">VLOOKUP(E353,'1.2-Jaarprijzen'!$B$51:$Q$88,16,FALSE)*K353</f>
        <v>0</v>
      </c>
      <c r="AC353" s="226">
        <f t="shared" si="88"/>
        <v>1120</v>
      </c>
      <c r="AD353" s="226" t="str">
        <f t="shared" si="89"/>
        <v>4200-200</v>
      </c>
    </row>
    <row r="354" spans="2:30" ht="12.5">
      <c r="B354" s="336"/>
      <c r="C354" s="337"/>
      <c r="D354" s="302">
        <f>VLOOKUP(E354,'1.2-Jaarprijzen'!B:G,6,FALSE)</f>
        <v>1</v>
      </c>
      <c r="E354" s="522" t="s">
        <v>84</v>
      </c>
      <c r="F354" s="302" t="s">
        <v>368</v>
      </c>
      <c r="G354" s="525" t="s">
        <v>377</v>
      </c>
      <c r="H354" s="523" t="s">
        <v>207</v>
      </c>
      <c r="I354" s="303" t="str">
        <f t="shared" si="90"/>
        <v>niet van toepassing</v>
      </c>
      <c r="J354" s="302" t="s">
        <v>221</v>
      </c>
      <c r="K354" s="304"/>
      <c r="L354" s="304">
        <v>6.7</v>
      </c>
      <c r="M354" s="305" t="s">
        <v>147</v>
      </c>
      <c r="N354" s="302"/>
      <c r="O354" s="306">
        <f t="shared" si="83"/>
        <v>0</v>
      </c>
      <c r="P354" s="472">
        <v>1</v>
      </c>
      <c r="Q354" s="472">
        <v>1</v>
      </c>
      <c r="R354" s="300">
        <f t="shared" si="84"/>
        <v>0</v>
      </c>
      <c r="S354" s="300">
        <f t="shared" si="85"/>
        <v>0</v>
      </c>
      <c r="T354" s="300">
        <f t="shared" si="86"/>
        <v>0</v>
      </c>
      <c r="U354" s="307">
        <f t="shared" si="91"/>
        <v>0</v>
      </c>
      <c r="V354" s="307">
        <f t="shared" si="92"/>
        <v>0</v>
      </c>
      <c r="W354" s="307">
        <f t="shared" si="93"/>
        <v>0</v>
      </c>
      <c r="X354" s="308">
        <f t="shared" si="87"/>
        <v>0</v>
      </c>
      <c r="Y354" s="309"/>
      <c r="Z354" s="310">
        <f>(R354+S354+T354)*'1.0-Contractblad'!$L$37</f>
        <v>0</v>
      </c>
      <c r="AA354" s="310">
        <f ca="1">VLOOKUP(E354,'1.2-Jaarprijzen'!$B$51:$Q$88,16,FALSE)*K354</f>
        <v>0</v>
      </c>
      <c r="AC354" s="226">
        <f t="shared" si="88"/>
        <v>0</v>
      </c>
      <c r="AD354" s="226" t="str">
        <f t="shared" si="89"/>
        <v>nvt-0</v>
      </c>
    </row>
    <row r="355" spans="2:30" ht="12.5">
      <c r="B355" s="336"/>
      <c r="C355" s="337"/>
      <c r="D355" s="302">
        <f>VLOOKUP(E355,'1.2-Jaarprijzen'!B:G,6,FALSE)</f>
        <v>1</v>
      </c>
      <c r="E355" s="522" t="s">
        <v>84</v>
      </c>
      <c r="F355" s="302" t="s">
        <v>368</v>
      </c>
      <c r="G355" s="525" t="s">
        <v>380</v>
      </c>
      <c r="H355" s="523" t="s">
        <v>437</v>
      </c>
      <c r="I355" s="303" t="str">
        <f t="shared" si="90"/>
        <v>leslokaal/leerplein</v>
      </c>
      <c r="J355" s="302" t="s">
        <v>221</v>
      </c>
      <c r="K355" s="304">
        <v>55.88</v>
      </c>
      <c r="L355" s="304"/>
      <c r="M355" s="305">
        <v>7200</v>
      </c>
      <c r="N355" s="302"/>
      <c r="O355" s="306">
        <f t="shared" si="83"/>
        <v>200</v>
      </c>
      <c r="P355" s="472">
        <v>1</v>
      </c>
      <c r="Q355" s="472">
        <v>1</v>
      </c>
      <c r="R355" s="300">
        <f t="shared" si="84"/>
        <v>29.229538461538464</v>
      </c>
      <c r="S355" s="300">
        <f t="shared" si="85"/>
        <v>5.158153846153847</v>
      </c>
      <c r="T355" s="300">
        <f t="shared" si="86"/>
        <v>0</v>
      </c>
      <c r="U355" s="307">
        <f t="shared" si="91"/>
        <v>0.52307692307692311</v>
      </c>
      <c r="V355" s="307">
        <f t="shared" si="92"/>
        <v>9.2307692307692313E-2</v>
      </c>
      <c r="W355" s="307">
        <f t="shared" si="93"/>
        <v>0</v>
      </c>
      <c r="X355" s="308" t="str">
        <f t="shared" si="87"/>
        <v>L</v>
      </c>
      <c r="Y355" s="309"/>
      <c r="Z355" s="310">
        <f>(R355+S355+T355)*'1.0-Contractblad'!$L$37</f>
        <v>1044.2741940694584</v>
      </c>
      <c r="AA355" s="310">
        <f ca="1">VLOOKUP(E355,'1.2-Jaarprijzen'!$B$51:$Q$88,16,FALSE)*K355</f>
        <v>0</v>
      </c>
      <c r="AC355" s="226">
        <f t="shared" si="88"/>
        <v>11176</v>
      </c>
      <c r="AD355" s="226" t="str">
        <f t="shared" si="89"/>
        <v>7200-200</v>
      </c>
    </row>
    <row r="356" spans="2:30" ht="12.5">
      <c r="B356" s="336"/>
      <c r="C356" s="337"/>
      <c r="D356" s="302">
        <f>VLOOKUP(E356,'1.2-Jaarprijzen'!B:G,6,FALSE)</f>
        <v>1</v>
      </c>
      <c r="E356" s="522" t="s">
        <v>84</v>
      </c>
      <c r="F356" s="302" t="s">
        <v>368</v>
      </c>
      <c r="G356" s="525" t="s">
        <v>506</v>
      </c>
      <c r="H356" s="524" t="s">
        <v>439</v>
      </c>
      <c r="I356" s="303" t="str">
        <f t="shared" si="90"/>
        <v>sanitaire ruimte (toilet-/doucheruimte)</v>
      </c>
      <c r="J356" s="302" t="s">
        <v>221</v>
      </c>
      <c r="K356" s="304">
        <v>5.54</v>
      </c>
      <c r="L356" s="304"/>
      <c r="M356" s="305">
        <v>4200</v>
      </c>
      <c r="N356" s="302"/>
      <c r="O356" s="306">
        <f t="shared" si="83"/>
        <v>200</v>
      </c>
      <c r="P356" s="472">
        <v>1</v>
      </c>
      <c r="Q356" s="472">
        <v>1</v>
      </c>
      <c r="R356" s="300">
        <f t="shared" si="84"/>
        <v>14.847863786851647</v>
      </c>
      <c r="S356" s="300">
        <f t="shared" si="85"/>
        <v>2.6202112565032318</v>
      </c>
      <c r="T356" s="300">
        <f t="shared" si="86"/>
        <v>0</v>
      </c>
      <c r="U356" s="307">
        <f t="shared" si="91"/>
        <v>2.6801198171212359</v>
      </c>
      <c r="V356" s="307">
        <f t="shared" si="92"/>
        <v>0.4729623206684534</v>
      </c>
      <c r="W356" s="307">
        <f t="shared" si="93"/>
        <v>0</v>
      </c>
      <c r="X356" s="308" t="str">
        <f t="shared" si="87"/>
        <v>S</v>
      </c>
      <c r="Y356" s="309"/>
      <c r="Z356" s="310">
        <f>(R356+S356+T356)*'1.0-Contractblad'!$L$37</f>
        <v>530.46479026927125</v>
      </c>
      <c r="AA356" s="310">
        <f ca="1">VLOOKUP(E356,'1.2-Jaarprijzen'!$B$51:$Q$88,16,FALSE)*K356</f>
        <v>0</v>
      </c>
      <c r="AC356" s="226">
        <f t="shared" si="88"/>
        <v>1108</v>
      </c>
      <c r="AD356" s="226" t="str">
        <f t="shared" si="89"/>
        <v>4200-200</v>
      </c>
    </row>
    <row r="357" spans="2:30" ht="12.5">
      <c r="B357" s="336"/>
      <c r="C357" s="337"/>
      <c r="D357" s="302">
        <f>VLOOKUP(E357,'1.2-Jaarprijzen'!B:G,6,FALSE)</f>
        <v>1</v>
      </c>
      <c r="E357" s="522" t="s">
        <v>84</v>
      </c>
      <c r="F357" s="302" t="s">
        <v>368</v>
      </c>
      <c r="G357" s="525" t="s">
        <v>507</v>
      </c>
      <c r="H357" s="523" t="s">
        <v>207</v>
      </c>
      <c r="I357" s="303" t="str">
        <f t="shared" si="90"/>
        <v>niet van toepassing</v>
      </c>
      <c r="J357" s="302" t="s">
        <v>221</v>
      </c>
      <c r="K357" s="304"/>
      <c r="L357" s="304">
        <v>6.72</v>
      </c>
      <c r="M357" s="305" t="s">
        <v>147</v>
      </c>
      <c r="N357" s="302"/>
      <c r="O357" s="306">
        <f t="shared" si="83"/>
        <v>0</v>
      </c>
      <c r="P357" s="472">
        <v>1</v>
      </c>
      <c r="Q357" s="472">
        <v>1</v>
      </c>
      <c r="R357" s="300">
        <f t="shared" si="84"/>
        <v>0</v>
      </c>
      <c r="S357" s="300">
        <f t="shared" si="85"/>
        <v>0</v>
      </c>
      <c r="T357" s="300">
        <f t="shared" si="86"/>
        <v>0</v>
      </c>
      <c r="U357" s="307">
        <f t="shared" si="91"/>
        <v>0</v>
      </c>
      <c r="V357" s="307">
        <f t="shared" si="92"/>
        <v>0</v>
      </c>
      <c r="W357" s="307">
        <f t="shared" si="93"/>
        <v>0</v>
      </c>
      <c r="X357" s="308">
        <f t="shared" si="87"/>
        <v>0</v>
      </c>
      <c r="Y357" s="309"/>
      <c r="Z357" s="310">
        <f>(R357+S357+T357)*'1.0-Contractblad'!$L$37</f>
        <v>0</v>
      </c>
      <c r="AA357" s="310">
        <f ca="1">VLOOKUP(E357,'1.2-Jaarprijzen'!$B$51:$Q$88,16,FALSE)*K357</f>
        <v>0</v>
      </c>
      <c r="AC357" s="226">
        <f t="shared" si="88"/>
        <v>0</v>
      </c>
      <c r="AD357" s="226" t="str">
        <f t="shared" si="89"/>
        <v>nvt-0</v>
      </c>
    </row>
    <row r="358" spans="2:30" ht="12.5">
      <c r="B358" s="336"/>
      <c r="C358" s="337"/>
      <c r="D358" s="302">
        <f>VLOOKUP(E358,'1.2-Jaarprijzen'!B:G,6,FALSE)</f>
        <v>1</v>
      </c>
      <c r="E358" s="522" t="s">
        <v>86</v>
      </c>
      <c r="F358" s="302" t="s">
        <v>201</v>
      </c>
      <c r="G358" s="525" t="s">
        <v>202</v>
      </c>
      <c r="H358" s="523" t="s">
        <v>508</v>
      </c>
      <c r="I358" s="303" t="str">
        <f t="shared" si="90"/>
        <v>entree, gang, hal, repro, kopieer, was/droogruimte</v>
      </c>
      <c r="J358" s="302" t="s">
        <v>218</v>
      </c>
      <c r="K358" s="304">
        <v>37.200000000000003</v>
      </c>
      <c r="L358" s="304"/>
      <c r="M358" s="305">
        <v>3200</v>
      </c>
      <c r="N358" s="302"/>
      <c r="O358" s="306">
        <f t="shared" si="83"/>
        <v>200</v>
      </c>
      <c r="P358" s="472">
        <v>1</v>
      </c>
      <c r="Q358" s="472">
        <v>1</v>
      </c>
      <c r="R358" s="300">
        <f t="shared" si="84"/>
        <v>14.001627389349538</v>
      </c>
      <c r="S358" s="300">
        <f t="shared" si="85"/>
        <v>4.2233169571135836</v>
      </c>
      <c r="T358" s="300">
        <f t="shared" si="86"/>
        <v>0</v>
      </c>
      <c r="U358" s="307">
        <f t="shared" si="91"/>
        <v>0.37638783304703055</v>
      </c>
      <c r="V358" s="307">
        <f t="shared" si="92"/>
        <v>0.11353002572885977</v>
      </c>
      <c r="W358" s="307">
        <f t="shared" si="93"/>
        <v>0</v>
      </c>
      <c r="X358" s="308" t="str">
        <f t="shared" si="87"/>
        <v>V</v>
      </c>
      <c r="Y358" s="309"/>
      <c r="Z358" s="310">
        <f>(R358+S358+T358)*'1.0-Contractblad'!$L$37</f>
        <v>553.4491497443754</v>
      </c>
      <c r="AA358" s="310">
        <f ca="1">VLOOKUP(E358,'1.2-Jaarprijzen'!$B$51:$Q$88,16,FALSE)*K358</f>
        <v>0</v>
      </c>
      <c r="AC358" s="226">
        <f t="shared" si="88"/>
        <v>7440.0000000000009</v>
      </c>
      <c r="AD358" s="226" t="str">
        <f t="shared" si="89"/>
        <v>3200-200</v>
      </c>
    </row>
    <row r="359" spans="2:30" ht="12.5">
      <c r="B359" s="336"/>
      <c r="C359" s="337"/>
      <c r="D359" s="302">
        <f>VLOOKUP(E359,'1.2-Jaarprijzen'!B:G,6,FALSE)</f>
        <v>1</v>
      </c>
      <c r="E359" s="522" t="s">
        <v>86</v>
      </c>
      <c r="F359" s="302" t="s">
        <v>201</v>
      </c>
      <c r="G359" s="525" t="s">
        <v>206</v>
      </c>
      <c r="H359" s="523" t="s">
        <v>252</v>
      </c>
      <c r="I359" s="303" t="str">
        <f t="shared" si="90"/>
        <v>administratieve -, personeels- en vergaderruimte</v>
      </c>
      <c r="J359" s="302" t="s">
        <v>218</v>
      </c>
      <c r="K359" s="304">
        <v>27.7</v>
      </c>
      <c r="L359" s="304"/>
      <c r="M359" s="305">
        <v>1080</v>
      </c>
      <c r="N359" s="302"/>
      <c r="O359" s="306">
        <f t="shared" ref="O359:O422" si="94">VLOOKUP(M359,Kengetal,3,FALSE)+VLOOKUP(N359,Kengetal,3,FALSE)</f>
        <v>80</v>
      </c>
      <c r="P359" s="472">
        <v>1</v>
      </c>
      <c r="Q359" s="472">
        <v>1</v>
      </c>
      <c r="R359" s="300">
        <f t="shared" ref="R359:R422" si="95">U359*K359*P359</f>
        <v>5.7956923076923079</v>
      </c>
      <c r="S359" s="300">
        <f t="shared" ref="S359:S422" si="96">V359*K359*Q359</f>
        <v>1.0227692307692309</v>
      </c>
      <c r="T359" s="300">
        <f t="shared" ref="T359:T422" si="97">W359*K359*P359</f>
        <v>0</v>
      </c>
      <c r="U359" s="307">
        <f t="shared" si="91"/>
        <v>0.20923076923076925</v>
      </c>
      <c r="V359" s="307">
        <f t="shared" si="92"/>
        <v>3.6923076923076927E-2</v>
      </c>
      <c r="W359" s="307">
        <f t="shared" si="93"/>
        <v>0</v>
      </c>
      <c r="X359" s="308" t="str">
        <f t="shared" ref="X359:X422" si="98">IF(M359="","",VLOOKUP(M359,Kengetal,13,FALSE))</f>
        <v>V</v>
      </c>
      <c r="Y359" s="309"/>
      <c r="Z359" s="310">
        <f>(R359+S359+T359)*'1.0-Contractblad'!$L$37</f>
        <v>207.06081013403002</v>
      </c>
      <c r="AA359" s="310">
        <f ca="1">VLOOKUP(E359,'1.2-Jaarprijzen'!$B$51:$Q$88,16,FALSE)*K359</f>
        <v>0</v>
      </c>
      <c r="AC359" s="226">
        <f t="shared" si="88"/>
        <v>2216</v>
      </c>
      <c r="AD359" s="226" t="str">
        <f t="shared" si="89"/>
        <v>1080-80</v>
      </c>
    </row>
    <row r="360" spans="2:30" ht="12.5">
      <c r="B360" s="336"/>
      <c r="C360" s="337"/>
      <c r="D360" s="302">
        <f>VLOOKUP(E360,'1.2-Jaarprijzen'!B:G,6,FALSE)</f>
        <v>1</v>
      </c>
      <c r="E360" s="522" t="s">
        <v>86</v>
      </c>
      <c r="F360" s="302" t="s">
        <v>201</v>
      </c>
      <c r="G360" s="525" t="s">
        <v>433</v>
      </c>
      <c r="H360" s="523" t="s">
        <v>282</v>
      </c>
      <c r="I360" s="303" t="str">
        <f t="shared" si="90"/>
        <v>administratieve -, personeels- en vergaderruimte</v>
      </c>
      <c r="J360" s="302" t="s">
        <v>218</v>
      </c>
      <c r="K360" s="304">
        <v>21.2</v>
      </c>
      <c r="L360" s="304"/>
      <c r="M360" s="305">
        <v>1080</v>
      </c>
      <c r="N360" s="302"/>
      <c r="O360" s="306">
        <f t="shared" si="94"/>
        <v>80</v>
      </c>
      <c r="P360" s="472">
        <v>1</v>
      </c>
      <c r="Q360" s="472">
        <v>1</v>
      </c>
      <c r="R360" s="300">
        <f t="shared" si="95"/>
        <v>4.4356923076923076</v>
      </c>
      <c r="S360" s="300">
        <f t="shared" si="96"/>
        <v>0.78276923076923077</v>
      </c>
      <c r="T360" s="300">
        <f t="shared" si="97"/>
        <v>0</v>
      </c>
      <c r="U360" s="307">
        <f t="shared" si="91"/>
        <v>0.20923076923076925</v>
      </c>
      <c r="V360" s="307">
        <f t="shared" si="92"/>
        <v>3.6923076923076927E-2</v>
      </c>
      <c r="W360" s="307">
        <f t="shared" si="93"/>
        <v>0</v>
      </c>
      <c r="X360" s="308" t="str">
        <f t="shared" si="98"/>
        <v>V</v>
      </c>
      <c r="Y360" s="309"/>
      <c r="Z360" s="310">
        <f>(R360+S360+T360)*'1.0-Contractblad'!$L$37</f>
        <v>158.47253338777747</v>
      </c>
      <c r="AA360" s="310">
        <f ca="1">VLOOKUP(E360,'1.2-Jaarprijzen'!$B$51:$Q$88,16,FALSE)*K360</f>
        <v>0</v>
      </c>
      <c r="AC360" s="226">
        <f t="shared" si="88"/>
        <v>1696</v>
      </c>
      <c r="AD360" s="226" t="str">
        <f t="shared" si="89"/>
        <v>1080-80</v>
      </c>
    </row>
    <row r="361" spans="2:30" ht="12.5">
      <c r="B361" s="336"/>
      <c r="C361" s="337"/>
      <c r="D361" s="302">
        <f>VLOOKUP(E361,'1.2-Jaarprijzen'!B:G,6,FALSE)</f>
        <v>1</v>
      </c>
      <c r="E361" s="522" t="s">
        <v>86</v>
      </c>
      <c r="F361" s="302" t="s">
        <v>201</v>
      </c>
      <c r="G361" s="525" t="s">
        <v>209</v>
      </c>
      <c r="H361" s="522" t="s">
        <v>363</v>
      </c>
      <c r="I361" s="303" t="str">
        <f t="shared" si="90"/>
        <v>administratieve -, personeels- en vergaderruimte</v>
      </c>
      <c r="J361" s="302" t="s">
        <v>218</v>
      </c>
      <c r="K361" s="304">
        <v>28.8</v>
      </c>
      <c r="L361" s="304"/>
      <c r="M361" s="305">
        <v>1200</v>
      </c>
      <c r="N361" s="302"/>
      <c r="O361" s="306">
        <f t="shared" si="94"/>
        <v>200</v>
      </c>
      <c r="P361" s="472">
        <v>1</v>
      </c>
      <c r="Q361" s="472">
        <v>1</v>
      </c>
      <c r="R361" s="300">
        <f t="shared" si="95"/>
        <v>12.088888888888889</v>
      </c>
      <c r="S361" s="300">
        <f t="shared" si="96"/>
        <v>2.1333333333333333</v>
      </c>
      <c r="T361" s="300">
        <f t="shared" si="97"/>
        <v>0</v>
      </c>
      <c r="U361" s="307">
        <f t="shared" si="91"/>
        <v>0.41975308641975306</v>
      </c>
      <c r="V361" s="307">
        <f t="shared" si="92"/>
        <v>7.407407407407407E-2</v>
      </c>
      <c r="W361" s="307">
        <f t="shared" si="93"/>
        <v>0</v>
      </c>
      <c r="X361" s="308" t="str">
        <f t="shared" si="98"/>
        <v>V</v>
      </c>
      <c r="Y361" s="309"/>
      <c r="Z361" s="310">
        <f>(R361+S361+T361)*'1.0-Contractblad'!$L$37</f>
        <v>431.89579330002243</v>
      </c>
      <c r="AA361" s="310">
        <f ca="1">VLOOKUP(E361,'1.2-Jaarprijzen'!$B$51:$Q$88,16,FALSE)*K361</f>
        <v>0</v>
      </c>
      <c r="AC361" s="226">
        <f t="shared" si="88"/>
        <v>5760</v>
      </c>
      <c r="AD361" s="226" t="str">
        <f t="shared" si="89"/>
        <v>1200-200</v>
      </c>
    </row>
    <row r="362" spans="2:30" ht="12.5">
      <c r="B362" s="336"/>
      <c r="C362" s="337"/>
      <c r="D362" s="302">
        <f>VLOOKUP(E362,'1.2-Jaarprijzen'!B:G,6,FALSE)</f>
        <v>1</v>
      </c>
      <c r="E362" s="522" t="s">
        <v>86</v>
      </c>
      <c r="F362" s="302" t="s">
        <v>201</v>
      </c>
      <c r="G362" s="525" t="s">
        <v>216</v>
      </c>
      <c r="H362" s="523" t="s">
        <v>509</v>
      </c>
      <c r="I362" s="303" t="str">
        <f t="shared" si="90"/>
        <v>entree, gang, hal, repro, kopieer, was/droogruimte</v>
      </c>
      <c r="J362" s="302" t="s">
        <v>208</v>
      </c>
      <c r="K362" s="304">
        <v>6.9</v>
      </c>
      <c r="L362" s="304"/>
      <c r="M362" s="305">
        <v>3200</v>
      </c>
      <c r="N362" s="302"/>
      <c r="O362" s="306">
        <f t="shared" si="94"/>
        <v>200</v>
      </c>
      <c r="P362" s="472">
        <v>1</v>
      </c>
      <c r="Q362" s="472">
        <v>1</v>
      </c>
      <c r="R362" s="300">
        <f t="shared" si="95"/>
        <v>2.597076048024511</v>
      </c>
      <c r="S362" s="300">
        <f t="shared" si="96"/>
        <v>0.78335717752913248</v>
      </c>
      <c r="T362" s="300">
        <f t="shared" si="97"/>
        <v>0</v>
      </c>
      <c r="U362" s="307">
        <f t="shared" si="91"/>
        <v>0.37638783304703055</v>
      </c>
      <c r="V362" s="307">
        <f t="shared" si="92"/>
        <v>0.11353002572885977</v>
      </c>
      <c r="W362" s="307">
        <f t="shared" si="93"/>
        <v>0</v>
      </c>
      <c r="X362" s="308" t="str">
        <f t="shared" si="98"/>
        <v>V</v>
      </c>
      <c r="Y362" s="309"/>
      <c r="Z362" s="310">
        <f>(R362+S362+T362)*'1.0-Contractblad'!$L$37</f>
        <v>102.6558906783922</v>
      </c>
      <c r="AA362" s="310">
        <f ca="1">VLOOKUP(E362,'1.2-Jaarprijzen'!$B$51:$Q$88,16,FALSE)*K362</f>
        <v>0</v>
      </c>
      <c r="AC362" s="226">
        <f t="shared" ref="AC362:AC425" si="99">K362*O362</f>
        <v>1380</v>
      </c>
      <c r="AD362" s="226" t="str">
        <f t="shared" ref="AD362:AD425" si="100">CONCATENATE(M362,"-",O362)</f>
        <v>3200-200</v>
      </c>
    </row>
    <row r="363" spans="2:30" ht="12.5">
      <c r="B363" s="336"/>
      <c r="C363" s="337"/>
      <c r="D363" s="302">
        <f>VLOOKUP(E363,'1.2-Jaarprijzen'!B:G,6,FALSE)</f>
        <v>1</v>
      </c>
      <c r="E363" s="522" t="s">
        <v>86</v>
      </c>
      <c r="F363" s="302" t="s">
        <v>201</v>
      </c>
      <c r="G363" s="525" t="s">
        <v>219</v>
      </c>
      <c r="H363" s="523" t="s">
        <v>220</v>
      </c>
      <c r="I363" s="303" t="str">
        <f t="shared" si="90"/>
        <v>sanitaire ruimte (toilet-/doucheruimte)</v>
      </c>
      <c r="J363" s="302" t="s">
        <v>229</v>
      </c>
      <c r="K363" s="304">
        <v>1.2</v>
      </c>
      <c r="L363" s="304"/>
      <c r="M363" s="305">
        <v>4200</v>
      </c>
      <c r="N363" s="302"/>
      <c r="O363" s="306">
        <f t="shared" si="94"/>
        <v>200</v>
      </c>
      <c r="P363" s="472">
        <v>1</v>
      </c>
      <c r="Q363" s="472">
        <v>1</v>
      </c>
      <c r="R363" s="300">
        <f t="shared" si="95"/>
        <v>3.2161437805454831</v>
      </c>
      <c r="S363" s="300">
        <f t="shared" si="96"/>
        <v>0.56755478480214405</v>
      </c>
      <c r="T363" s="300">
        <f t="shared" si="97"/>
        <v>0</v>
      </c>
      <c r="U363" s="307">
        <f t="shared" si="91"/>
        <v>2.6801198171212359</v>
      </c>
      <c r="V363" s="307">
        <f t="shared" si="92"/>
        <v>0.4729623206684534</v>
      </c>
      <c r="W363" s="307">
        <f t="shared" si="93"/>
        <v>0</v>
      </c>
      <c r="X363" s="308" t="str">
        <f t="shared" si="98"/>
        <v>S</v>
      </c>
      <c r="Y363" s="309"/>
      <c r="Z363" s="310">
        <f>(R363+S363+T363)*'1.0-Contractblad'!$L$37</f>
        <v>114.90212063594323</v>
      </c>
      <c r="AA363" s="310">
        <f ca="1">VLOOKUP(E363,'1.2-Jaarprijzen'!$B$51:$Q$88,16,FALSE)*K363</f>
        <v>0</v>
      </c>
      <c r="AC363" s="226">
        <f t="shared" si="99"/>
        <v>240</v>
      </c>
      <c r="AD363" s="226" t="str">
        <f t="shared" si="100"/>
        <v>4200-200</v>
      </c>
    </row>
    <row r="364" spans="2:30" ht="12.5">
      <c r="B364" s="336"/>
      <c r="C364" s="337"/>
      <c r="D364" s="302">
        <f>VLOOKUP(E364,'1.2-Jaarprijzen'!B:G,6,FALSE)</f>
        <v>1</v>
      </c>
      <c r="E364" s="522" t="s">
        <v>86</v>
      </c>
      <c r="F364" s="302" t="s">
        <v>201</v>
      </c>
      <c r="G364" s="525" t="s">
        <v>222</v>
      </c>
      <c r="H364" s="523" t="s">
        <v>252</v>
      </c>
      <c r="I364" s="303" t="str">
        <f t="shared" si="90"/>
        <v>administratieve -, personeels- en vergaderruimte</v>
      </c>
      <c r="J364" s="302" t="s">
        <v>218</v>
      </c>
      <c r="K364" s="304">
        <v>19.399999999999999</v>
      </c>
      <c r="L364" s="304"/>
      <c r="M364" s="305">
        <v>1080</v>
      </c>
      <c r="N364" s="302"/>
      <c r="O364" s="306">
        <f t="shared" si="94"/>
        <v>80</v>
      </c>
      <c r="P364" s="472">
        <v>1</v>
      </c>
      <c r="Q364" s="472">
        <v>1</v>
      </c>
      <c r="R364" s="300">
        <f t="shared" si="95"/>
        <v>4.0590769230769235</v>
      </c>
      <c r="S364" s="300">
        <f t="shared" si="96"/>
        <v>0.71630769230769231</v>
      </c>
      <c r="T364" s="300">
        <f t="shared" si="97"/>
        <v>0</v>
      </c>
      <c r="U364" s="307">
        <f t="shared" si="91"/>
        <v>0.20923076923076925</v>
      </c>
      <c r="V364" s="307">
        <f t="shared" si="92"/>
        <v>3.6923076923076927E-2</v>
      </c>
      <c r="W364" s="307">
        <f t="shared" si="93"/>
        <v>0</v>
      </c>
      <c r="X364" s="308" t="str">
        <f t="shared" si="98"/>
        <v>V</v>
      </c>
      <c r="Y364" s="309"/>
      <c r="Z364" s="310">
        <f>(R364+S364+T364)*'1.0-Contractblad'!$L$37</f>
        <v>145.01731828881526</v>
      </c>
      <c r="AA364" s="310">
        <f ca="1">VLOOKUP(E364,'1.2-Jaarprijzen'!$B$51:$Q$88,16,FALSE)*K364</f>
        <v>0</v>
      </c>
      <c r="AC364" s="226">
        <f t="shared" si="99"/>
        <v>1552</v>
      </c>
      <c r="AD364" s="226" t="str">
        <f t="shared" si="100"/>
        <v>1080-80</v>
      </c>
    </row>
    <row r="365" spans="2:30" ht="12.5">
      <c r="B365" s="336"/>
      <c r="C365" s="337"/>
      <c r="D365" s="302">
        <f>VLOOKUP(E365,'1.2-Jaarprijzen'!B:G,6,FALSE)</f>
        <v>1</v>
      </c>
      <c r="E365" s="522" t="s">
        <v>86</v>
      </c>
      <c r="F365" s="302" t="s">
        <v>201</v>
      </c>
      <c r="G365" s="525" t="s">
        <v>224</v>
      </c>
      <c r="H365" s="523" t="s">
        <v>252</v>
      </c>
      <c r="I365" s="303" t="str">
        <f t="shared" si="90"/>
        <v>administratieve -, personeels- en vergaderruimte</v>
      </c>
      <c r="J365" s="302" t="s">
        <v>218</v>
      </c>
      <c r="K365" s="304">
        <v>14.1</v>
      </c>
      <c r="L365" s="304"/>
      <c r="M365" s="305">
        <v>1080</v>
      </c>
      <c r="N365" s="302"/>
      <c r="O365" s="306">
        <f t="shared" si="94"/>
        <v>80</v>
      </c>
      <c r="P365" s="472">
        <v>1</v>
      </c>
      <c r="Q365" s="472">
        <v>1</v>
      </c>
      <c r="R365" s="300">
        <f t="shared" si="95"/>
        <v>2.9501538461538463</v>
      </c>
      <c r="S365" s="300">
        <f t="shared" si="96"/>
        <v>0.5206153846153847</v>
      </c>
      <c r="T365" s="300">
        <f t="shared" si="97"/>
        <v>0</v>
      </c>
      <c r="U365" s="307">
        <f t="shared" si="91"/>
        <v>0.20923076923076925</v>
      </c>
      <c r="V365" s="307">
        <f t="shared" si="92"/>
        <v>3.6923076923076927E-2</v>
      </c>
      <c r="W365" s="307">
        <f t="shared" si="93"/>
        <v>0</v>
      </c>
      <c r="X365" s="308" t="str">
        <f t="shared" si="98"/>
        <v>V</v>
      </c>
      <c r="Y365" s="309"/>
      <c r="Z365" s="310">
        <f>(R365+S365+T365)*'1.0-Contractblad'!$L$37</f>
        <v>105.39918494187089</v>
      </c>
      <c r="AA365" s="310">
        <f ca="1">VLOOKUP(E365,'1.2-Jaarprijzen'!$B$51:$Q$88,16,FALSE)*K365</f>
        <v>0</v>
      </c>
      <c r="AC365" s="226">
        <f t="shared" si="99"/>
        <v>1128</v>
      </c>
      <c r="AD365" s="226" t="str">
        <f t="shared" si="100"/>
        <v>1080-80</v>
      </c>
    </row>
    <row r="366" spans="2:30" ht="12.5">
      <c r="B366" s="336"/>
      <c r="C366" s="337"/>
      <c r="D366" s="302">
        <f>VLOOKUP(E366,'1.2-Jaarprijzen'!B:G,6,FALSE)</f>
        <v>1</v>
      </c>
      <c r="E366" s="522" t="s">
        <v>86</v>
      </c>
      <c r="F366" s="302" t="s">
        <v>201</v>
      </c>
      <c r="G366" s="525" t="s">
        <v>226</v>
      </c>
      <c r="H366" s="523" t="s">
        <v>252</v>
      </c>
      <c r="I366" s="303" t="str">
        <f t="shared" si="90"/>
        <v>administratieve -, personeels- en vergaderruimte</v>
      </c>
      <c r="J366" s="302" t="s">
        <v>218</v>
      </c>
      <c r="K366" s="304">
        <v>14.1</v>
      </c>
      <c r="L366" s="304"/>
      <c r="M366" s="305">
        <v>1080</v>
      </c>
      <c r="N366" s="302"/>
      <c r="O366" s="306">
        <f t="shared" si="94"/>
        <v>80</v>
      </c>
      <c r="P366" s="472">
        <v>1</v>
      </c>
      <c r="Q366" s="472">
        <v>1</v>
      </c>
      <c r="R366" s="300">
        <f t="shared" si="95"/>
        <v>2.9501538461538463</v>
      </c>
      <c r="S366" s="300">
        <f t="shared" si="96"/>
        <v>0.5206153846153847</v>
      </c>
      <c r="T366" s="300">
        <f t="shared" si="97"/>
        <v>0</v>
      </c>
      <c r="U366" s="307">
        <f t="shared" si="91"/>
        <v>0.20923076923076925</v>
      </c>
      <c r="V366" s="307">
        <f t="shared" si="92"/>
        <v>3.6923076923076927E-2</v>
      </c>
      <c r="W366" s="307">
        <f t="shared" si="93"/>
        <v>0</v>
      </c>
      <c r="X366" s="308" t="str">
        <f t="shared" si="98"/>
        <v>V</v>
      </c>
      <c r="Y366" s="309"/>
      <c r="Z366" s="310">
        <f>(R366+S366+T366)*'1.0-Contractblad'!$L$37</f>
        <v>105.39918494187089</v>
      </c>
      <c r="AA366" s="310">
        <f ca="1">VLOOKUP(E366,'1.2-Jaarprijzen'!$B$51:$Q$88,16,FALSE)*K366</f>
        <v>0</v>
      </c>
      <c r="AC366" s="226">
        <f t="shared" si="99"/>
        <v>1128</v>
      </c>
      <c r="AD366" s="226" t="str">
        <f t="shared" si="100"/>
        <v>1080-80</v>
      </c>
    </row>
    <row r="367" spans="2:30" ht="12.5">
      <c r="B367" s="336"/>
      <c r="C367" s="337"/>
      <c r="D367" s="302">
        <f>VLOOKUP(E367,'1.2-Jaarprijzen'!B:G,6,FALSE)</f>
        <v>1</v>
      </c>
      <c r="E367" s="522" t="s">
        <v>86</v>
      </c>
      <c r="F367" s="302" t="s">
        <v>201</v>
      </c>
      <c r="G367" s="525" t="s">
        <v>227</v>
      </c>
      <c r="H367" s="523" t="s">
        <v>510</v>
      </c>
      <c r="I367" s="303" t="str">
        <f t="shared" si="90"/>
        <v>niet van toepassing</v>
      </c>
      <c r="J367" s="302" t="s">
        <v>218</v>
      </c>
      <c r="K367" s="304"/>
      <c r="L367" s="304">
        <v>20.2</v>
      </c>
      <c r="M367" s="305" t="s">
        <v>147</v>
      </c>
      <c r="N367" s="302"/>
      <c r="O367" s="306">
        <f t="shared" si="94"/>
        <v>0</v>
      </c>
      <c r="P367" s="472">
        <v>1</v>
      </c>
      <c r="Q367" s="472">
        <v>1</v>
      </c>
      <c r="R367" s="300">
        <f t="shared" si="95"/>
        <v>0</v>
      </c>
      <c r="S367" s="300">
        <f t="shared" si="96"/>
        <v>0</v>
      </c>
      <c r="T367" s="300">
        <f t="shared" si="97"/>
        <v>0</v>
      </c>
      <c r="U367" s="307">
        <f t="shared" si="91"/>
        <v>0</v>
      </c>
      <c r="V367" s="307">
        <f t="shared" si="92"/>
        <v>0</v>
      </c>
      <c r="W367" s="307">
        <f t="shared" si="93"/>
        <v>0</v>
      </c>
      <c r="X367" s="308">
        <f t="shared" si="98"/>
        <v>0</v>
      </c>
      <c r="Y367" s="309"/>
      <c r="Z367" s="310">
        <f>(R367+S367+T367)*'1.0-Contractblad'!$L$37</f>
        <v>0</v>
      </c>
      <c r="AA367" s="310">
        <f ca="1">VLOOKUP(E367,'1.2-Jaarprijzen'!$B$51:$Q$88,16,FALSE)*K367</f>
        <v>0</v>
      </c>
      <c r="AC367" s="226">
        <f t="shared" si="99"/>
        <v>0</v>
      </c>
      <c r="AD367" s="226" t="str">
        <f t="shared" si="100"/>
        <v>nvt-0</v>
      </c>
    </row>
    <row r="368" spans="2:30" ht="12.5">
      <c r="B368" s="336"/>
      <c r="C368" s="337"/>
      <c r="D368" s="302">
        <f>VLOOKUP(E368,'1.2-Jaarprijzen'!B:G,6,FALSE)</f>
        <v>1</v>
      </c>
      <c r="E368" s="522" t="s">
        <v>86</v>
      </c>
      <c r="F368" s="302" t="s">
        <v>201</v>
      </c>
      <c r="G368" s="526" t="s">
        <v>230</v>
      </c>
      <c r="H368" s="527" t="s">
        <v>247</v>
      </c>
      <c r="I368" s="303" t="str">
        <f t="shared" si="90"/>
        <v>niet van toepassing</v>
      </c>
      <c r="J368" s="302" t="s">
        <v>208</v>
      </c>
      <c r="K368" s="304"/>
      <c r="L368" s="304">
        <v>1.85</v>
      </c>
      <c r="M368" s="305" t="s">
        <v>147</v>
      </c>
      <c r="N368" s="302"/>
      <c r="O368" s="306">
        <f t="shared" si="94"/>
        <v>0</v>
      </c>
      <c r="P368" s="472">
        <v>1</v>
      </c>
      <c r="Q368" s="472">
        <v>1</v>
      </c>
      <c r="R368" s="300">
        <f t="shared" si="95"/>
        <v>0</v>
      </c>
      <c r="S368" s="300">
        <f t="shared" si="96"/>
        <v>0</v>
      </c>
      <c r="T368" s="300">
        <f t="shared" si="97"/>
        <v>0</v>
      </c>
      <c r="U368" s="307">
        <f t="shared" si="91"/>
        <v>0</v>
      </c>
      <c r="V368" s="307">
        <f t="shared" si="92"/>
        <v>0</v>
      </c>
      <c r="W368" s="307">
        <f t="shared" si="93"/>
        <v>0</v>
      </c>
      <c r="X368" s="308">
        <f t="shared" si="98"/>
        <v>0</v>
      </c>
      <c r="Y368" s="309"/>
      <c r="Z368" s="310">
        <f>(R368+S368+T368)*'1.0-Contractblad'!$L$37</f>
        <v>0</v>
      </c>
      <c r="AA368" s="310">
        <f ca="1">VLOOKUP(E368,'1.2-Jaarprijzen'!$B$51:$Q$88,16,FALSE)*K368</f>
        <v>0</v>
      </c>
      <c r="AC368" s="226">
        <f t="shared" si="99"/>
        <v>0</v>
      </c>
      <c r="AD368" s="226" t="str">
        <f t="shared" si="100"/>
        <v>nvt-0</v>
      </c>
    </row>
    <row r="369" spans="2:30" ht="12.5">
      <c r="B369" s="336"/>
      <c r="C369" s="337"/>
      <c r="D369" s="302">
        <f>VLOOKUP(E369,'1.2-Jaarprijzen'!B:G,6,FALSE)</f>
        <v>1</v>
      </c>
      <c r="E369" s="522" t="s">
        <v>86</v>
      </c>
      <c r="F369" s="302" t="s">
        <v>201</v>
      </c>
      <c r="G369" s="526" t="s">
        <v>251</v>
      </c>
      <c r="H369" s="527" t="s">
        <v>247</v>
      </c>
      <c r="I369" s="303" t="str">
        <f t="shared" si="90"/>
        <v>niet van toepassing</v>
      </c>
      <c r="J369" s="302" t="s">
        <v>208</v>
      </c>
      <c r="K369" s="304"/>
      <c r="L369" s="304">
        <v>3.65</v>
      </c>
      <c r="M369" s="305" t="s">
        <v>147</v>
      </c>
      <c r="N369" s="302"/>
      <c r="O369" s="306">
        <f t="shared" si="94"/>
        <v>0</v>
      </c>
      <c r="P369" s="472">
        <v>1</v>
      </c>
      <c r="Q369" s="472">
        <v>1</v>
      </c>
      <c r="R369" s="300">
        <f t="shared" si="95"/>
        <v>0</v>
      </c>
      <c r="S369" s="300">
        <f t="shared" si="96"/>
        <v>0</v>
      </c>
      <c r="T369" s="300">
        <f t="shared" si="97"/>
        <v>0</v>
      </c>
      <c r="U369" s="307">
        <f t="shared" si="91"/>
        <v>0</v>
      </c>
      <c r="V369" s="307">
        <f t="shared" si="92"/>
        <v>0</v>
      </c>
      <c r="W369" s="307">
        <f t="shared" si="93"/>
        <v>0</v>
      </c>
      <c r="X369" s="308">
        <f t="shared" si="98"/>
        <v>0</v>
      </c>
      <c r="Y369" s="309"/>
      <c r="Z369" s="310">
        <f>(R369+S369+T369)*'1.0-Contractblad'!$L$37</f>
        <v>0</v>
      </c>
      <c r="AA369" s="310">
        <f ca="1">VLOOKUP(E369,'1.2-Jaarprijzen'!$B$51:$Q$88,16,FALSE)*K369</f>
        <v>0</v>
      </c>
      <c r="AC369" s="226">
        <f t="shared" si="99"/>
        <v>0</v>
      </c>
      <c r="AD369" s="226" t="str">
        <f t="shared" si="100"/>
        <v>nvt-0</v>
      </c>
    </row>
    <row r="370" spans="2:30" ht="12.5">
      <c r="B370" s="336"/>
      <c r="C370" s="337"/>
      <c r="D370" s="302">
        <f>VLOOKUP(E370,'1.2-Jaarprijzen'!B:G,6,FALSE)</f>
        <v>1</v>
      </c>
      <c r="E370" s="522" t="s">
        <v>86</v>
      </c>
      <c r="F370" s="302" t="s">
        <v>201</v>
      </c>
      <c r="G370" s="526" t="s">
        <v>254</v>
      </c>
      <c r="H370" s="527" t="s">
        <v>511</v>
      </c>
      <c r="I370" s="303" t="str">
        <f t="shared" si="90"/>
        <v>niet van toepassing</v>
      </c>
      <c r="J370" s="302"/>
      <c r="K370" s="304"/>
      <c r="L370" s="304">
        <v>1.35</v>
      </c>
      <c r="M370" s="305" t="s">
        <v>147</v>
      </c>
      <c r="N370" s="302"/>
      <c r="O370" s="306">
        <f t="shared" si="94"/>
        <v>0</v>
      </c>
      <c r="P370" s="472">
        <v>1</v>
      </c>
      <c r="Q370" s="472">
        <v>1</v>
      </c>
      <c r="R370" s="300">
        <f t="shared" si="95"/>
        <v>0</v>
      </c>
      <c r="S370" s="300">
        <f t="shared" si="96"/>
        <v>0</v>
      </c>
      <c r="T370" s="300">
        <f t="shared" si="97"/>
        <v>0</v>
      </c>
      <c r="U370" s="307">
        <f t="shared" si="91"/>
        <v>0</v>
      </c>
      <c r="V370" s="307">
        <f t="shared" si="92"/>
        <v>0</v>
      </c>
      <c r="W370" s="307">
        <f t="shared" si="93"/>
        <v>0</v>
      </c>
      <c r="X370" s="308">
        <f t="shared" si="98"/>
        <v>0</v>
      </c>
      <c r="Y370" s="309"/>
      <c r="Z370" s="310">
        <f>(R370+S370+T370)*'1.0-Contractblad'!$L$37</f>
        <v>0</v>
      </c>
      <c r="AA370" s="310">
        <f ca="1">VLOOKUP(E370,'1.2-Jaarprijzen'!$B$51:$Q$88,16,FALSE)*K370</f>
        <v>0</v>
      </c>
      <c r="AC370" s="226">
        <f t="shared" si="99"/>
        <v>0</v>
      </c>
      <c r="AD370" s="226" t="str">
        <f t="shared" si="100"/>
        <v>nvt-0</v>
      </c>
    </row>
    <row r="371" spans="2:30" ht="12.5">
      <c r="B371" s="336"/>
      <c r="C371" s="337"/>
      <c r="D371" s="302">
        <f>VLOOKUP(E371,'1.2-Jaarprijzen'!B:G,6,FALSE)</f>
        <v>1</v>
      </c>
      <c r="E371" s="522" t="s">
        <v>86</v>
      </c>
      <c r="F371" s="302" t="s">
        <v>201</v>
      </c>
      <c r="G371" s="526" t="s">
        <v>255</v>
      </c>
      <c r="H371" s="527" t="s">
        <v>512</v>
      </c>
      <c r="I371" s="303" t="str">
        <f t="shared" si="90"/>
        <v>niet van toepassing</v>
      </c>
      <c r="J371" s="302"/>
      <c r="K371" s="304"/>
      <c r="L371" s="304">
        <v>1.65</v>
      </c>
      <c r="M371" s="305" t="s">
        <v>147</v>
      </c>
      <c r="N371" s="302"/>
      <c r="O371" s="306">
        <f t="shared" si="94"/>
        <v>0</v>
      </c>
      <c r="P371" s="472">
        <v>1</v>
      </c>
      <c r="Q371" s="472">
        <v>1</v>
      </c>
      <c r="R371" s="300">
        <f t="shared" si="95"/>
        <v>0</v>
      </c>
      <c r="S371" s="300">
        <f t="shared" si="96"/>
        <v>0</v>
      </c>
      <c r="T371" s="300">
        <f t="shared" si="97"/>
        <v>0</v>
      </c>
      <c r="U371" s="307">
        <f t="shared" si="91"/>
        <v>0</v>
      </c>
      <c r="V371" s="307">
        <f t="shared" si="92"/>
        <v>0</v>
      </c>
      <c r="W371" s="307">
        <f t="shared" si="93"/>
        <v>0</v>
      </c>
      <c r="X371" s="308">
        <f t="shared" si="98"/>
        <v>0</v>
      </c>
      <c r="Y371" s="309"/>
      <c r="Z371" s="310">
        <f>(R371+S371+T371)*'1.0-Contractblad'!$L$37</f>
        <v>0</v>
      </c>
      <c r="AA371" s="310">
        <f ca="1">VLOOKUP(E371,'1.2-Jaarprijzen'!$B$51:$Q$88,16,FALSE)*K371</f>
        <v>0</v>
      </c>
      <c r="AC371" s="226">
        <f t="shared" si="99"/>
        <v>0</v>
      </c>
      <c r="AD371" s="226" t="str">
        <f t="shared" si="100"/>
        <v>nvt-0</v>
      </c>
    </row>
    <row r="372" spans="2:30" ht="12.5">
      <c r="B372" s="336"/>
      <c r="C372" s="337"/>
      <c r="D372" s="302">
        <f>VLOOKUP(E372,'1.2-Jaarprijzen'!B:G,6,FALSE)</f>
        <v>1</v>
      </c>
      <c r="E372" s="522" t="s">
        <v>86</v>
      </c>
      <c r="F372" s="302" t="s">
        <v>201</v>
      </c>
      <c r="G372" s="526" t="s">
        <v>260</v>
      </c>
      <c r="H372" s="527" t="s">
        <v>280</v>
      </c>
      <c r="I372" s="303" t="str">
        <f t="shared" si="90"/>
        <v>entree, gang, hal, repro, kopieer, was/droogruimte</v>
      </c>
      <c r="J372" s="302" t="s">
        <v>218</v>
      </c>
      <c r="K372" s="304">
        <v>29.3</v>
      </c>
      <c r="L372" s="304"/>
      <c r="M372" s="305">
        <v>3200</v>
      </c>
      <c r="N372" s="302"/>
      <c r="O372" s="306">
        <f t="shared" si="94"/>
        <v>200</v>
      </c>
      <c r="P372" s="472">
        <v>1</v>
      </c>
      <c r="Q372" s="472">
        <v>1</v>
      </c>
      <c r="R372" s="300">
        <f t="shared" si="95"/>
        <v>11.028163508277995</v>
      </c>
      <c r="S372" s="300">
        <f t="shared" si="96"/>
        <v>3.3264297538555914</v>
      </c>
      <c r="T372" s="300">
        <f t="shared" si="97"/>
        <v>0</v>
      </c>
      <c r="U372" s="307">
        <f t="shared" si="91"/>
        <v>0.37638783304703055</v>
      </c>
      <c r="V372" s="307">
        <f t="shared" si="92"/>
        <v>0.11353002572885977</v>
      </c>
      <c r="W372" s="307">
        <f t="shared" si="93"/>
        <v>0</v>
      </c>
      <c r="X372" s="308" t="str">
        <f t="shared" si="98"/>
        <v>V</v>
      </c>
      <c r="Y372" s="309"/>
      <c r="Z372" s="310">
        <f>(R372+S372+T372)*'1.0-Contractblad'!$L$37</f>
        <v>435.91559375027413</v>
      </c>
      <c r="AA372" s="310">
        <f ca="1">VLOOKUP(E372,'1.2-Jaarprijzen'!$B$51:$Q$88,16,FALSE)*K372</f>
        <v>0</v>
      </c>
      <c r="AC372" s="226">
        <f t="shared" si="99"/>
        <v>5860</v>
      </c>
      <c r="AD372" s="226" t="str">
        <f t="shared" si="100"/>
        <v>3200-200</v>
      </c>
    </row>
    <row r="373" spans="2:30" ht="12.5">
      <c r="B373" s="336"/>
      <c r="C373" s="337"/>
      <c r="D373" s="302">
        <f>VLOOKUP(E373,'1.2-Jaarprijzen'!B:G,6,FALSE)</f>
        <v>1</v>
      </c>
      <c r="E373" s="522" t="s">
        <v>86</v>
      </c>
      <c r="F373" s="302" t="s">
        <v>201</v>
      </c>
      <c r="G373" s="526" t="s">
        <v>330</v>
      </c>
      <c r="H373" s="523" t="s">
        <v>243</v>
      </c>
      <c r="I373" s="303" t="str">
        <f t="shared" si="90"/>
        <v>leslokaal/bevo/handvaardigheid</v>
      </c>
      <c r="J373" s="302" t="s">
        <v>218</v>
      </c>
      <c r="K373" s="304">
        <v>68.650000000000006</v>
      </c>
      <c r="L373" s="304"/>
      <c r="M373" s="305">
        <v>7040</v>
      </c>
      <c r="N373" s="302"/>
      <c r="O373" s="306">
        <f t="shared" si="94"/>
        <v>40</v>
      </c>
      <c r="P373" s="472">
        <v>1</v>
      </c>
      <c r="Q373" s="472">
        <v>1</v>
      </c>
      <c r="R373" s="300">
        <f t="shared" si="95"/>
        <v>8.6182153846153859</v>
      </c>
      <c r="S373" s="300">
        <f t="shared" si="96"/>
        <v>6.3369230769230782</v>
      </c>
      <c r="T373" s="300">
        <f t="shared" si="97"/>
        <v>0</v>
      </c>
      <c r="U373" s="307">
        <f t="shared" si="91"/>
        <v>0.12553846153846154</v>
      </c>
      <c r="V373" s="307">
        <f t="shared" si="92"/>
        <v>9.2307692307692313E-2</v>
      </c>
      <c r="W373" s="307">
        <f t="shared" si="93"/>
        <v>0</v>
      </c>
      <c r="X373" s="308" t="str">
        <f t="shared" si="98"/>
        <v>L</v>
      </c>
      <c r="Y373" s="309"/>
      <c r="Z373" s="310">
        <f>(R373+S373+T373)*'1.0-Contractblad'!$L$37</f>
        <v>454.15275396734762</v>
      </c>
      <c r="AA373" s="310">
        <f ca="1">VLOOKUP(E373,'1.2-Jaarprijzen'!$B$51:$Q$88,16,FALSE)*K373</f>
        <v>0</v>
      </c>
      <c r="AC373" s="226">
        <f t="shared" si="99"/>
        <v>2746</v>
      </c>
      <c r="AD373" s="226" t="str">
        <f t="shared" si="100"/>
        <v>7040-40</v>
      </c>
    </row>
    <row r="374" spans="2:30" ht="12.5">
      <c r="B374" s="336"/>
      <c r="C374" s="337"/>
      <c r="D374" s="302">
        <f>VLOOKUP(E374,'1.2-Jaarprijzen'!B:G,6,FALSE)</f>
        <v>1</v>
      </c>
      <c r="E374" s="522" t="s">
        <v>86</v>
      </c>
      <c r="F374" s="302" t="s">
        <v>201</v>
      </c>
      <c r="G374" s="526" t="s">
        <v>263</v>
      </c>
      <c r="H374" s="527" t="s">
        <v>513</v>
      </c>
      <c r="I374" s="303" t="str">
        <f t="shared" si="90"/>
        <v>entree, gang, hal, repro, kopieer, was/droogruimte</v>
      </c>
      <c r="J374" s="302" t="s">
        <v>218</v>
      </c>
      <c r="K374" s="304">
        <v>2.85</v>
      </c>
      <c r="L374" s="304"/>
      <c r="M374" s="305">
        <v>3200</v>
      </c>
      <c r="N374" s="302"/>
      <c r="O374" s="306">
        <f t="shared" si="94"/>
        <v>200</v>
      </c>
      <c r="P374" s="472">
        <v>1</v>
      </c>
      <c r="Q374" s="472">
        <v>1</v>
      </c>
      <c r="R374" s="300">
        <f t="shared" si="95"/>
        <v>1.0727053241840372</v>
      </c>
      <c r="S374" s="300">
        <f t="shared" si="96"/>
        <v>0.32356057332725036</v>
      </c>
      <c r="T374" s="300">
        <f t="shared" si="97"/>
        <v>0</v>
      </c>
      <c r="U374" s="307">
        <f t="shared" si="91"/>
        <v>0.37638783304703055</v>
      </c>
      <c r="V374" s="307">
        <f t="shared" si="92"/>
        <v>0.11353002572885977</v>
      </c>
      <c r="W374" s="307">
        <f t="shared" si="93"/>
        <v>0</v>
      </c>
      <c r="X374" s="308" t="str">
        <f t="shared" si="98"/>
        <v>V</v>
      </c>
      <c r="Y374" s="309"/>
      <c r="Z374" s="310">
        <f>(R374+S374+T374)*'1.0-Contractblad'!$L$37</f>
        <v>42.401346149770696</v>
      </c>
      <c r="AA374" s="310">
        <f ca="1">VLOOKUP(E374,'1.2-Jaarprijzen'!$B$51:$Q$88,16,FALSE)*K374</f>
        <v>0</v>
      </c>
      <c r="AC374" s="226">
        <f t="shared" si="99"/>
        <v>570</v>
      </c>
      <c r="AD374" s="226" t="str">
        <f t="shared" si="100"/>
        <v>3200-200</v>
      </c>
    </row>
    <row r="375" spans="2:30" ht="12.5">
      <c r="B375" s="336"/>
      <c r="C375" s="337"/>
      <c r="D375" s="302">
        <f>VLOOKUP(E375,'1.2-Jaarprijzen'!B:G,6,FALSE)</f>
        <v>1</v>
      </c>
      <c r="E375" s="522" t="s">
        <v>86</v>
      </c>
      <c r="F375" s="302" t="s">
        <v>201</v>
      </c>
      <c r="G375" s="526" t="s">
        <v>267</v>
      </c>
      <c r="H375" s="527" t="s">
        <v>514</v>
      </c>
      <c r="I375" s="303" t="str">
        <f t="shared" si="90"/>
        <v>niet van toepassing</v>
      </c>
      <c r="J375" s="302" t="s">
        <v>218</v>
      </c>
      <c r="K375" s="304"/>
      <c r="L375" s="304">
        <v>10.35</v>
      </c>
      <c r="M375" s="305" t="s">
        <v>147</v>
      </c>
      <c r="N375" s="302"/>
      <c r="O375" s="306">
        <f t="shared" si="94"/>
        <v>0</v>
      </c>
      <c r="P375" s="472">
        <v>1</v>
      </c>
      <c r="Q375" s="472">
        <v>1</v>
      </c>
      <c r="R375" s="300">
        <f t="shared" si="95"/>
        <v>0</v>
      </c>
      <c r="S375" s="300">
        <f t="shared" si="96"/>
        <v>0</v>
      </c>
      <c r="T375" s="300">
        <f t="shared" si="97"/>
        <v>0</v>
      </c>
      <c r="U375" s="307">
        <f t="shared" si="91"/>
        <v>0</v>
      </c>
      <c r="V375" s="307">
        <f t="shared" si="92"/>
        <v>0</v>
      </c>
      <c r="W375" s="307">
        <f t="shared" si="93"/>
        <v>0</v>
      </c>
      <c r="X375" s="308">
        <f t="shared" si="98"/>
        <v>0</v>
      </c>
      <c r="Y375" s="309"/>
      <c r="Z375" s="310">
        <f>(R375+S375+T375)*'1.0-Contractblad'!$L$37</f>
        <v>0</v>
      </c>
      <c r="AA375" s="310">
        <f ca="1">VLOOKUP(E375,'1.2-Jaarprijzen'!$B$51:$Q$88,16,FALSE)*K375</f>
        <v>0</v>
      </c>
      <c r="AC375" s="226">
        <f t="shared" si="99"/>
        <v>0</v>
      </c>
      <c r="AD375" s="226" t="str">
        <f t="shared" si="100"/>
        <v>nvt-0</v>
      </c>
    </row>
    <row r="376" spans="2:30" ht="12.5">
      <c r="B376" s="336"/>
      <c r="C376" s="337"/>
      <c r="D376" s="302">
        <f>VLOOKUP(E376,'1.2-Jaarprijzen'!B:G,6,FALSE)</f>
        <v>1</v>
      </c>
      <c r="E376" s="522" t="s">
        <v>86</v>
      </c>
      <c r="F376" s="302" t="s">
        <v>201</v>
      </c>
      <c r="G376" s="526" t="s">
        <v>269</v>
      </c>
      <c r="H376" s="527" t="s">
        <v>220</v>
      </c>
      <c r="I376" s="303" t="str">
        <f t="shared" si="90"/>
        <v>sanitaire ruimte (toilet-/doucheruimte)</v>
      </c>
      <c r="J376" s="302" t="s">
        <v>229</v>
      </c>
      <c r="K376" s="304">
        <v>2.25</v>
      </c>
      <c r="L376" s="304"/>
      <c r="M376" s="305">
        <v>4200</v>
      </c>
      <c r="N376" s="302"/>
      <c r="O376" s="306">
        <f t="shared" si="94"/>
        <v>200</v>
      </c>
      <c r="P376" s="472">
        <v>1</v>
      </c>
      <c r="Q376" s="472">
        <v>1</v>
      </c>
      <c r="R376" s="300">
        <f t="shared" si="95"/>
        <v>6.0302695885227813</v>
      </c>
      <c r="S376" s="300">
        <f t="shared" si="96"/>
        <v>1.06416522150402</v>
      </c>
      <c r="T376" s="300">
        <f t="shared" si="97"/>
        <v>0</v>
      </c>
      <c r="U376" s="307">
        <f t="shared" si="91"/>
        <v>2.6801198171212359</v>
      </c>
      <c r="V376" s="307">
        <f t="shared" si="92"/>
        <v>0.4729623206684534</v>
      </c>
      <c r="W376" s="307">
        <f t="shared" si="93"/>
        <v>0</v>
      </c>
      <c r="X376" s="308" t="str">
        <f t="shared" si="98"/>
        <v>S</v>
      </c>
      <c r="Y376" s="309"/>
      <c r="Z376" s="310">
        <f>(R376+S376+T376)*'1.0-Contractblad'!$L$37</f>
        <v>215.44147619239357</v>
      </c>
      <c r="AA376" s="310">
        <f ca="1">VLOOKUP(E376,'1.2-Jaarprijzen'!$B$51:$Q$88,16,FALSE)*K376</f>
        <v>0</v>
      </c>
      <c r="AC376" s="226">
        <f t="shared" si="99"/>
        <v>450</v>
      </c>
      <c r="AD376" s="226" t="str">
        <f t="shared" si="100"/>
        <v>4200-200</v>
      </c>
    </row>
    <row r="377" spans="2:30" ht="12.5">
      <c r="B377" s="336"/>
      <c r="C377" s="337"/>
      <c r="D377" s="302">
        <f>VLOOKUP(E377,'1.2-Jaarprijzen'!B:G,6,FALSE)</f>
        <v>1</v>
      </c>
      <c r="E377" s="522" t="s">
        <v>86</v>
      </c>
      <c r="F377" s="302" t="s">
        <v>201</v>
      </c>
      <c r="G377" s="526" t="s">
        <v>271</v>
      </c>
      <c r="H377" s="528" t="s">
        <v>220</v>
      </c>
      <c r="I377" s="303" t="str">
        <f t="shared" si="90"/>
        <v>sanitaire ruimte (toilet-/doucheruimte)</v>
      </c>
      <c r="J377" s="302" t="s">
        <v>229</v>
      </c>
      <c r="K377" s="304">
        <v>4.7</v>
      </c>
      <c r="L377" s="304"/>
      <c r="M377" s="305">
        <v>4200</v>
      </c>
      <c r="N377" s="302"/>
      <c r="O377" s="306">
        <f t="shared" si="94"/>
        <v>200</v>
      </c>
      <c r="P377" s="472">
        <v>1</v>
      </c>
      <c r="Q377" s="472">
        <v>1</v>
      </c>
      <c r="R377" s="300">
        <f t="shared" si="95"/>
        <v>12.59656314046981</v>
      </c>
      <c r="S377" s="300">
        <f t="shared" si="96"/>
        <v>2.2229229071417311</v>
      </c>
      <c r="T377" s="300">
        <f t="shared" si="97"/>
        <v>0</v>
      </c>
      <c r="U377" s="307">
        <f t="shared" si="91"/>
        <v>2.6801198171212359</v>
      </c>
      <c r="V377" s="307">
        <f t="shared" si="92"/>
        <v>0.4729623206684534</v>
      </c>
      <c r="W377" s="307">
        <f t="shared" si="93"/>
        <v>0</v>
      </c>
      <c r="X377" s="308" t="str">
        <f t="shared" si="98"/>
        <v>S</v>
      </c>
      <c r="Y377" s="309"/>
      <c r="Z377" s="310">
        <f>(R377+S377+T377)*'1.0-Contractblad'!$L$37</f>
        <v>450.03330582411104</v>
      </c>
      <c r="AA377" s="310">
        <f ca="1">VLOOKUP(E377,'1.2-Jaarprijzen'!$B$51:$Q$88,16,FALSE)*K377</f>
        <v>0</v>
      </c>
      <c r="AC377" s="226">
        <f t="shared" si="99"/>
        <v>940</v>
      </c>
      <c r="AD377" s="226" t="str">
        <f t="shared" si="100"/>
        <v>4200-200</v>
      </c>
    </row>
    <row r="378" spans="2:30" ht="12.5">
      <c r="B378" s="336"/>
      <c r="C378" s="337"/>
      <c r="D378" s="302">
        <f>VLOOKUP(E378,'1.2-Jaarprijzen'!B:G,6,FALSE)</f>
        <v>1</v>
      </c>
      <c r="E378" s="522" t="s">
        <v>86</v>
      </c>
      <c r="F378" s="302" t="s">
        <v>201</v>
      </c>
      <c r="G378" s="526" t="s">
        <v>333</v>
      </c>
      <c r="H378" s="527" t="s">
        <v>515</v>
      </c>
      <c r="I378" s="303" t="str">
        <f t="shared" si="90"/>
        <v>leslokaal/leerplein</v>
      </c>
      <c r="J378" s="302" t="s">
        <v>218</v>
      </c>
      <c r="K378" s="304">
        <v>58.75</v>
      </c>
      <c r="L378" s="304"/>
      <c r="M378" s="305">
        <v>7200</v>
      </c>
      <c r="N378" s="302"/>
      <c r="O378" s="306">
        <f t="shared" si="94"/>
        <v>200</v>
      </c>
      <c r="P378" s="472">
        <v>1</v>
      </c>
      <c r="Q378" s="472">
        <v>1</v>
      </c>
      <c r="R378" s="300">
        <f t="shared" si="95"/>
        <v>30.730769230769234</v>
      </c>
      <c r="S378" s="300">
        <f t="shared" si="96"/>
        <v>5.4230769230769234</v>
      </c>
      <c r="T378" s="300">
        <f t="shared" si="97"/>
        <v>0</v>
      </c>
      <c r="U378" s="307">
        <f t="shared" si="91"/>
        <v>0.52307692307692311</v>
      </c>
      <c r="V378" s="307">
        <f t="shared" si="92"/>
        <v>9.2307692307692313E-2</v>
      </c>
      <c r="W378" s="307">
        <f t="shared" si="93"/>
        <v>0</v>
      </c>
      <c r="X378" s="308" t="str">
        <f t="shared" si="98"/>
        <v>L</v>
      </c>
      <c r="Y378" s="309"/>
      <c r="Z378" s="310">
        <f>(R378+S378+T378)*'1.0-Contractblad'!$L$37</f>
        <v>1097.9081764778218</v>
      </c>
      <c r="AA378" s="310">
        <f ca="1">VLOOKUP(E378,'1.2-Jaarprijzen'!$B$51:$Q$88,16,FALSE)*K378</f>
        <v>0</v>
      </c>
      <c r="AC378" s="226">
        <f t="shared" si="99"/>
        <v>11750</v>
      </c>
      <c r="AD378" s="226" t="str">
        <f t="shared" si="100"/>
        <v>7200-200</v>
      </c>
    </row>
    <row r="379" spans="2:30" ht="12.5">
      <c r="B379" s="336"/>
      <c r="C379" s="337"/>
      <c r="D379" s="302">
        <f>VLOOKUP(E379,'1.2-Jaarprijzen'!B:G,6,FALSE)</f>
        <v>1</v>
      </c>
      <c r="E379" s="522" t="s">
        <v>86</v>
      </c>
      <c r="F379" s="302" t="s">
        <v>201</v>
      </c>
      <c r="G379" s="526" t="s">
        <v>334</v>
      </c>
      <c r="H379" s="527" t="s">
        <v>515</v>
      </c>
      <c r="I379" s="303" t="str">
        <f t="shared" si="90"/>
        <v>leslokaal/leerplein</v>
      </c>
      <c r="J379" s="302" t="s">
        <v>218</v>
      </c>
      <c r="K379" s="304">
        <v>58.65</v>
      </c>
      <c r="L379" s="304"/>
      <c r="M379" s="305">
        <v>7200</v>
      </c>
      <c r="N379" s="302"/>
      <c r="O379" s="306">
        <f t="shared" si="94"/>
        <v>200</v>
      </c>
      <c r="P379" s="472">
        <v>1</v>
      </c>
      <c r="Q379" s="472">
        <v>1</v>
      </c>
      <c r="R379" s="300">
        <f t="shared" si="95"/>
        <v>30.678461538461541</v>
      </c>
      <c r="S379" s="300">
        <f t="shared" si="96"/>
        <v>5.413846153846154</v>
      </c>
      <c r="T379" s="300">
        <f t="shared" si="97"/>
        <v>0</v>
      </c>
      <c r="U379" s="307">
        <f t="shared" si="91"/>
        <v>0.52307692307692311</v>
      </c>
      <c r="V379" s="307">
        <f t="shared" si="92"/>
        <v>9.2307692307692313E-2</v>
      </c>
      <c r="W379" s="307">
        <f t="shared" si="93"/>
        <v>0</v>
      </c>
      <c r="X379" s="308" t="str">
        <f t="shared" si="98"/>
        <v>L</v>
      </c>
      <c r="Y379" s="309"/>
      <c r="Z379" s="310">
        <f>(R379+S379+T379)*'1.0-Contractblad'!$L$37</f>
        <v>1096.0393966029658</v>
      </c>
      <c r="AA379" s="310">
        <f ca="1">VLOOKUP(E379,'1.2-Jaarprijzen'!$B$51:$Q$88,16,FALSE)*K379</f>
        <v>0</v>
      </c>
      <c r="AC379" s="226">
        <f t="shared" si="99"/>
        <v>11730</v>
      </c>
      <c r="AD379" s="226" t="str">
        <f t="shared" si="100"/>
        <v>7200-200</v>
      </c>
    </row>
    <row r="380" spans="2:30" ht="12.5">
      <c r="B380" s="336"/>
      <c r="C380" s="337"/>
      <c r="D380" s="302">
        <f>VLOOKUP(E380,'1.2-Jaarprijzen'!B:G,6,FALSE)</f>
        <v>1</v>
      </c>
      <c r="E380" s="522" t="s">
        <v>86</v>
      </c>
      <c r="F380" s="302" t="s">
        <v>201</v>
      </c>
      <c r="G380" s="526" t="s">
        <v>336</v>
      </c>
      <c r="H380" s="527" t="s">
        <v>277</v>
      </c>
      <c r="I380" s="303" t="str">
        <f t="shared" si="90"/>
        <v>entree, gang, hal, repro, kopieer, was/droogruimte</v>
      </c>
      <c r="J380" s="302" t="s">
        <v>253</v>
      </c>
      <c r="K380" s="304">
        <v>5.05</v>
      </c>
      <c r="L380" s="304"/>
      <c r="M380" s="305">
        <v>3200</v>
      </c>
      <c r="N380" s="302"/>
      <c r="O380" s="306">
        <f t="shared" si="94"/>
        <v>200</v>
      </c>
      <c r="P380" s="472">
        <v>1</v>
      </c>
      <c r="Q380" s="472">
        <v>1</v>
      </c>
      <c r="R380" s="300">
        <f t="shared" si="95"/>
        <v>1.9007585568875043</v>
      </c>
      <c r="S380" s="300">
        <f t="shared" si="96"/>
        <v>0.57332662993074179</v>
      </c>
      <c r="T380" s="300">
        <f t="shared" si="97"/>
        <v>0</v>
      </c>
      <c r="U380" s="307">
        <f t="shared" si="91"/>
        <v>0.37638783304703055</v>
      </c>
      <c r="V380" s="307">
        <f t="shared" si="92"/>
        <v>0.11353002572885977</v>
      </c>
      <c r="W380" s="307">
        <f t="shared" si="93"/>
        <v>0</v>
      </c>
      <c r="X380" s="308" t="str">
        <f t="shared" si="98"/>
        <v>V</v>
      </c>
      <c r="Y380" s="309"/>
      <c r="Z380" s="310">
        <f>(R380+S380+T380)*'1.0-Contractblad'!$L$37</f>
        <v>75.132209844330518</v>
      </c>
      <c r="AA380" s="310">
        <f ca="1">VLOOKUP(E380,'1.2-Jaarprijzen'!$B$51:$Q$88,16,FALSE)*K380</f>
        <v>0</v>
      </c>
      <c r="AC380" s="226">
        <f t="shared" si="99"/>
        <v>1010</v>
      </c>
      <c r="AD380" s="226" t="str">
        <f t="shared" si="100"/>
        <v>3200-200</v>
      </c>
    </row>
    <row r="381" spans="2:30" ht="12.5">
      <c r="B381" s="336"/>
      <c r="C381" s="337"/>
      <c r="D381" s="302">
        <f>VLOOKUP(E381,'1.2-Jaarprijzen'!B:G,6,FALSE)</f>
        <v>1</v>
      </c>
      <c r="E381" s="522" t="s">
        <v>86</v>
      </c>
      <c r="F381" s="302" t="s">
        <v>201</v>
      </c>
      <c r="G381" s="526" t="s">
        <v>338</v>
      </c>
      <c r="H381" s="527" t="s">
        <v>515</v>
      </c>
      <c r="I381" s="303" t="str">
        <f t="shared" si="90"/>
        <v>leslokaal/leerplein</v>
      </c>
      <c r="J381" s="302" t="s">
        <v>218</v>
      </c>
      <c r="K381" s="304">
        <v>59.4</v>
      </c>
      <c r="L381" s="304"/>
      <c r="M381" s="305">
        <v>7200</v>
      </c>
      <c r="N381" s="302"/>
      <c r="O381" s="306">
        <f t="shared" si="94"/>
        <v>200</v>
      </c>
      <c r="P381" s="472">
        <v>1</v>
      </c>
      <c r="Q381" s="472">
        <v>1</v>
      </c>
      <c r="R381" s="300">
        <f t="shared" si="95"/>
        <v>31.070769230769233</v>
      </c>
      <c r="S381" s="300">
        <f t="shared" si="96"/>
        <v>5.483076923076923</v>
      </c>
      <c r="T381" s="300">
        <f t="shared" si="97"/>
        <v>0</v>
      </c>
      <c r="U381" s="307">
        <f t="shared" si="91"/>
        <v>0.52307692307692311</v>
      </c>
      <c r="V381" s="307">
        <f t="shared" si="92"/>
        <v>9.2307692307692313E-2</v>
      </c>
      <c r="W381" s="307">
        <f t="shared" si="93"/>
        <v>0</v>
      </c>
      <c r="X381" s="308" t="str">
        <f t="shared" si="98"/>
        <v>L</v>
      </c>
      <c r="Y381" s="309"/>
      <c r="Z381" s="310">
        <f>(R381+S381+T381)*'1.0-Contractblad'!$L$37</f>
        <v>1110.0552456643848</v>
      </c>
      <c r="AA381" s="310">
        <f ca="1">VLOOKUP(E381,'1.2-Jaarprijzen'!$B$51:$Q$88,16,FALSE)*K381</f>
        <v>0</v>
      </c>
      <c r="AC381" s="226">
        <f t="shared" si="99"/>
        <v>11880</v>
      </c>
      <c r="AD381" s="226" t="str">
        <f t="shared" si="100"/>
        <v>7200-200</v>
      </c>
    </row>
    <row r="382" spans="2:30" ht="12.5">
      <c r="B382" s="336"/>
      <c r="C382" s="337"/>
      <c r="D382" s="302">
        <f>VLOOKUP(E382,'1.2-Jaarprijzen'!B:G,6,FALSE)</f>
        <v>1</v>
      </c>
      <c r="E382" s="522" t="s">
        <v>86</v>
      </c>
      <c r="F382" s="302" t="s">
        <v>201</v>
      </c>
      <c r="G382" s="526" t="s">
        <v>339</v>
      </c>
      <c r="H382" s="527" t="s">
        <v>515</v>
      </c>
      <c r="I382" s="303" t="str">
        <f t="shared" si="90"/>
        <v>leslokaal/leerplein</v>
      </c>
      <c r="J382" s="302" t="s">
        <v>218</v>
      </c>
      <c r="K382" s="304">
        <v>59.4</v>
      </c>
      <c r="L382" s="304"/>
      <c r="M382" s="305">
        <v>7200</v>
      </c>
      <c r="N382" s="302"/>
      <c r="O382" s="306">
        <f t="shared" si="94"/>
        <v>200</v>
      </c>
      <c r="P382" s="472">
        <v>1</v>
      </c>
      <c r="Q382" s="472">
        <v>1</v>
      </c>
      <c r="R382" s="300">
        <f t="shared" si="95"/>
        <v>31.070769230769233</v>
      </c>
      <c r="S382" s="300">
        <f t="shared" si="96"/>
        <v>5.483076923076923</v>
      </c>
      <c r="T382" s="300">
        <f t="shared" si="97"/>
        <v>0</v>
      </c>
      <c r="U382" s="307">
        <f t="shared" si="91"/>
        <v>0.52307692307692311</v>
      </c>
      <c r="V382" s="307">
        <f t="shared" si="92"/>
        <v>9.2307692307692313E-2</v>
      </c>
      <c r="W382" s="307">
        <f t="shared" si="93"/>
        <v>0</v>
      </c>
      <c r="X382" s="308" t="str">
        <f t="shared" si="98"/>
        <v>L</v>
      </c>
      <c r="Y382" s="309"/>
      <c r="Z382" s="310">
        <f>(R382+S382+T382)*'1.0-Contractblad'!$L$37</f>
        <v>1110.0552456643848</v>
      </c>
      <c r="AA382" s="310">
        <f ca="1">VLOOKUP(E382,'1.2-Jaarprijzen'!$B$51:$Q$88,16,FALSE)*K382</f>
        <v>0</v>
      </c>
      <c r="AC382" s="226">
        <f t="shared" si="99"/>
        <v>11880</v>
      </c>
      <c r="AD382" s="226" t="str">
        <f t="shared" si="100"/>
        <v>7200-200</v>
      </c>
    </row>
    <row r="383" spans="2:30" ht="12.5">
      <c r="B383" s="336"/>
      <c r="C383" s="337"/>
      <c r="D383" s="302">
        <f>VLOOKUP(E383,'1.2-Jaarprijzen'!B:G,6,FALSE)</f>
        <v>1</v>
      </c>
      <c r="E383" s="522" t="s">
        <v>86</v>
      </c>
      <c r="F383" s="302" t="s">
        <v>201</v>
      </c>
      <c r="G383" s="526" t="s">
        <v>340</v>
      </c>
      <c r="H383" s="527" t="s">
        <v>277</v>
      </c>
      <c r="I383" s="303" t="str">
        <f t="shared" si="90"/>
        <v>entree, gang, hal, repro, kopieer, was/droogruimte</v>
      </c>
      <c r="J383" s="302" t="s">
        <v>253</v>
      </c>
      <c r="K383" s="304">
        <v>5.0999999999999996</v>
      </c>
      <c r="L383" s="304"/>
      <c r="M383" s="305">
        <v>3200</v>
      </c>
      <c r="N383" s="302"/>
      <c r="O383" s="306">
        <f t="shared" si="94"/>
        <v>200</v>
      </c>
      <c r="P383" s="472">
        <v>1</v>
      </c>
      <c r="Q383" s="472">
        <v>1</v>
      </c>
      <c r="R383" s="300">
        <f t="shared" si="95"/>
        <v>1.9195779485398556</v>
      </c>
      <c r="S383" s="300">
        <f t="shared" si="96"/>
        <v>0.57900313121718483</v>
      </c>
      <c r="T383" s="300">
        <f t="shared" si="97"/>
        <v>0</v>
      </c>
      <c r="U383" s="307">
        <f t="shared" si="91"/>
        <v>0.37638783304703055</v>
      </c>
      <c r="V383" s="307">
        <f t="shared" si="92"/>
        <v>0.11353002572885977</v>
      </c>
      <c r="W383" s="307">
        <f t="shared" si="93"/>
        <v>0</v>
      </c>
      <c r="X383" s="308" t="str">
        <f t="shared" si="98"/>
        <v>V</v>
      </c>
      <c r="Y383" s="309"/>
      <c r="Z383" s="310">
        <f>(R383+S383+T383)*'1.0-Contractblad'!$L$37</f>
        <v>75.876093110115974</v>
      </c>
      <c r="AA383" s="310">
        <f ca="1">VLOOKUP(E383,'1.2-Jaarprijzen'!$B$51:$Q$88,16,FALSE)*K383</f>
        <v>0</v>
      </c>
      <c r="AC383" s="226">
        <f t="shared" si="99"/>
        <v>1019.9999999999999</v>
      </c>
      <c r="AD383" s="226" t="str">
        <f t="shared" si="100"/>
        <v>3200-200</v>
      </c>
    </row>
    <row r="384" spans="2:30" ht="12.5">
      <c r="B384" s="336"/>
      <c r="C384" s="337"/>
      <c r="D384" s="302">
        <f>VLOOKUP(E384,'1.2-Jaarprijzen'!B:G,6,FALSE)</f>
        <v>1</v>
      </c>
      <c r="E384" s="522" t="s">
        <v>86</v>
      </c>
      <c r="F384" s="302" t="s">
        <v>201</v>
      </c>
      <c r="G384" s="526" t="s">
        <v>342</v>
      </c>
      <c r="H384" s="527" t="s">
        <v>515</v>
      </c>
      <c r="I384" s="303" t="str">
        <f t="shared" si="90"/>
        <v>leslokaal/leerplein</v>
      </c>
      <c r="J384" s="302" t="s">
        <v>218</v>
      </c>
      <c r="K384" s="304">
        <v>58.8</v>
      </c>
      <c r="L384" s="304"/>
      <c r="M384" s="305">
        <v>7200</v>
      </c>
      <c r="N384" s="302"/>
      <c r="O384" s="306">
        <f t="shared" si="94"/>
        <v>200</v>
      </c>
      <c r="P384" s="472">
        <v>1</v>
      </c>
      <c r="Q384" s="472">
        <v>1</v>
      </c>
      <c r="R384" s="300">
        <f t="shared" si="95"/>
        <v>30.756923076923076</v>
      </c>
      <c r="S384" s="300">
        <f t="shared" si="96"/>
        <v>5.4276923076923076</v>
      </c>
      <c r="T384" s="300">
        <f t="shared" si="97"/>
        <v>0</v>
      </c>
      <c r="U384" s="307">
        <f t="shared" si="91"/>
        <v>0.52307692307692311</v>
      </c>
      <c r="V384" s="307">
        <f t="shared" si="92"/>
        <v>9.2307692307692313E-2</v>
      </c>
      <c r="W384" s="307">
        <f t="shared" si="93"/>
        <v>0</v>
      </c>
      <c r="X384" s="308" t="str">
        <f t="shared" si="98"/>
        <v>L</v>
      </c>
      <c r="Y384" s="309"/>
      <c r="Z384" s="310">
        <f>(R384+S384+T384)*'1.0-Contractblad'!$L$37</f>
        <v>1098.8425664152494</v>
      </c>
      <c r="AA384" s="310">
        <f ca="1">VLOOKUP(E384,'1.2-Jaarprijzen'!$B$51:$Q$88,16,FALSE)*K384</f>
        <v>0</v>
      </c>
      <c r="AC384" s="226">
        <f t="shared" si="99"/>
        <v>11760</v>
      </c>
      <c r="AD384" s="226" t="str">
        <f t="shared" si="100"/>
        <v>7200-200</v>
      </c>
    </row>
    <row r="385" spans="2:30" ht="12.5">
      <c r="B385" s="336"/>
      <c r="C385" s="337"/>
      <c r="D385" s="302">
        <f>VLOOKUP(E385,'1.2-Jaarprijzen'!B:G,6,FALSE)</f>
        <v>1</v>
      </c>
      <c r="E385" s="522" t="s">
        <v>86</v>
      </c>
      <c r="F385" s="302" t="s">
        <v>201</v>
      </c>
      <c r="G385" s="526" t="s">
        <v>343</v>
      </c>
      <c r="H385" s="527" t="s">
        <v>220</v>
      </c>
      <c r="I385" s="303" t="str">
        <f t="shared" si="90"/>
        <v>sanitaire ruimte (toilet-/doucheruimte)</v>
      </c>
      <c r="J385" s="302" t="s">
        <v>221</v>
      </c>
      <c r="K385" s="304">
        <v>4.8499999999999996</v>
      </c>
      <c r="L385" s="304"/>
      <c r="M385" s="305">
        <v>4200</v>
      </c>
      <c r="N385" s="302"/>
      <c r="O385" s="306">
        <f t="shared" si="94"/>
        <v>200</v>
      </c>
      <c r="P385" s="472">
        <v>1</v>
      </c>
      <c r="Q385" s="472">
        <v>1</v>
      </c>
      <c r="R385" s="300">
        <f t="shared" si="95"/>
        <v>12.998581113037993</v>
      </c>
      <c r="S385" s="300">
        <f t="shared" si="96"/>
        <v>2.2938672552419987</v>
      </c>
      <c r="T385" s="300">
        <f t="shared" si="97"/>
        <v>0</v>
      </c>
      <c r="U385" s="307">
        <f t="shared" si="91"/>
        <v>2.6801198171212359</v>
      </c>
      <c r="V385" s="307">
        <f t="shared" si="92"/>
        <v>0.4729623206684534</v>
      </c>
      <c r="W385" s="307">
        <f t="shared" si="93"/>
        <v>0</v>
      </c>
      <c r="X385" s="308" t="str">
        <f t="shared" si="98"/>
        <v>S</v>
      </c>
      <c r="Y385" s="309"/>
      <c r="Z385" s="310">
        <f>(R385+S385+T385)*'1.0-Contractblad'!$L$37</f>
        <v>464.39607090360386</v>
      </c>
      <c r="AA385" s="310">
        <f ca="1">VLOOKUP(E385,'1.2-Jaarprijzen'!$B$51:$Q$88,16,FALSE)*K385</f>
        <v>0</v>
      </c>
      <c r="AC385" s="226">
        <f t="shared" si="99"/>
        <v>969.99999999999989</v>
      </c>
      <c r="AD385" s="226" t="str">
        <f t="shared" si="100"/>
        <v>4200-200</v>
      </c>
    </row>
    <row r="386" spans="2:30" ht="12.5">
      <c r="B386" s="336"/>
      <c r="C386" s="337"/>
      <c r="D386" s="302">
        <f>VLOOKUP(E386,'1.2-Jaarprijzen'!B:G,6,FALSE)</f>
        <v>1</v>
      </c>
      <c r="E386" s="522" t="s">
        <v>86</v>
      </c>
      <c r="F386" s="302" t="s">
        <v>201</v>
      </c>
      <c r="G386" s="526" t="s">
        <v>345</v>
      </c>
      <c r="H386" s="527" t="s">
        <v>220</v>
      </c>
      <c r="I386" s="303" t="str">
        <f t="shared" si="90"/>
        <v>sanitaire ruimte (toilet-/doucheruimte)</v>
      </c>
      <c r="J386" s="302" t="s">
        <v>221</v>
      </c>
      <c r="K386" s="304">
        <v>2.4500000000000002</v>
      </c>
      <c r="L386" s="304"/>
      <c r="M386" s="305">
        <v>4200</v>
      </c>
      <c r="N386" s="302"/>
      <c r="O386" s="306">
        <f t="shared" si="94"/>
        <v>200</v>
      </c>
      <c r="P386" s="472">
        <v>1</v>
      </c>
      <c r="Q386" s="472">
        <v>1</v>
      </c>
      <c r="R386" s="300">
        <f t="shared" si="95"/>
        <v>6.5662935519470285</v>
      </c>
      <c r="S386" s="300">
        <f t="shared" si="96"/>
        <v>1.1587576856377109</v>
      </c>
      <c r="T386" s="300">
        <f t="shared" si="97"/>
        <v>0</v>
      </c>
      <c r="U386" s="307">
        <f t="shared" si="91"/>
        <v>2.6801198171212359</v>
      </c>
      <c r="V386" s="307">
        <f t="shared" si="92"/>
        <v>0.4729623206684534</v>
      </c>
      <c r="W386" s="307">
        <f t="shared" si="93"/>
        <v>0</v>
      </c>
      <c r="X386" s="308" t="str">
        <f t="shared" si="98"/>
        <v>S</v>
      </c>
      <c r="Y386" s="309"/>
      <c r="Z386" s="310">
        <f>(R386+S386+T386)*'1.0-Contractblad'!$L$37</f>
        <v>234.59182963171745</v>
      </c>
      <c r="AA386" s="310">
        <f ca="1">VLOOKUP(E386,'1.2-Jaarprijzen'!$B$51:$Q$88,16,FALSE)*K386</f>
        <v>0</v>
      </c>
      <c r="AC386" s="226">
        <f t="shared" si="99"/>
        <v>490.00000000000006</v>
      </c>
      <c r="AD386" s="226" t="str">
        <f t="shared" si="100"/>
        <v>4200-200</v>
      </c>
    </row>
    <row r="387" spans="2:30" ht="12.5">
      <c r="B387" s="336"/>
      <c r="C387" s="337"/>
      <c r="D387" s="302">
        <f>VLOOKUP(E387,'1.2-Jaarprijzen'!B:G,6,FALSE)</f>
        <v>1</v>
      </c>
      <c r="E387" s="522" t="s">
        <v>86</v>
      </c>
      <c r="F387" s="302" t="s">
        <v>201</v>
      </c>
      <c r="G387" s="526" t="s">
        <v>346</v>
      </c>
      <c r="H387" s="527" t="s">
        <v>515</v>
      </c>
      <c r="I387" s="303" t="str">
        <f t="shared" si="90"/>
        <v>leslokaal/leerplein</v>
      </c>
      <c r="J387" s="302" t="s">
        <v>218</v>
      </c>
      <c r="K387" s="304">
        <v>58.8</v>
      </c>
      <c r="L387" s="304"/>
      <c r="M387" s="305">
        <v>7200</v>
      </c>
      <c r="N387" s="302"/>
      <c r="O387" s="306">
        <f t="shared" si="94"/>
        <v>200</v>
      </c>
      <c r="P387" s="472">
        <v>1</v>
      </c>
      <c r="Q387" s="472">
        <v>1</v>
      </c>
      <c r="R387" s="300">
        <f t="shared" si="95"/>
        <v>30.756923076923076</v>
      </c>
      <c r="S387" s="300">
        <f t="shared" si="96"/>
        <v>5.4276923076923076</v>
      </c>
      <c r="T387" s="300">
        <f t="shared" si="97"/>
        <v>0</v>
      </c>
      <c r="U387" s="307">
        <f t="shared" si="91"/>
        <v>0.52307692307692311</v>
      </c>
      <c r="V387" s="307">
        <f t="shared" si="92"/>
        <v>9.2307692307692313E-2</v>
      </c>
      <c r="W387" s="307">
        <f t="shared" si="93"/>
        <v>0</v>
      </c>
      <c r="X387" s="308" t="str">
        <f t="shared" si="98"/>
        <v>L</v>
      </c>
      <c r="Y387" s="309"/>
      <c r="Z387" s="310">
        <f>(R387+S387+T387)*'1.0-Contractblad'!$L$37</f>
        <v>1098.8425664152494</v>
      </c>
      <c r="AA387" s="310">
        <f ca="1">VLOOKUP(E387,'1.2-Jaarprijzen'!$B$51:$Q$88,16,FALSE)*K387</f>
        <v>0</v>
      </c>
      <c r="AC387" s="226">
        <f t="shared" si="99"/>
        <v>11760</v>
      </c>
      <c r="AD387" s="226" t="str">
        <f t="shared" si="100"/>
        <v>7200-200</v>
      </c>
    </row>
    <row r="388" spans="2:30" ht="12.5">
      <c r="B388" s="336"/>
      <c r="C388" s="337"/>
      <c r="D388" s="302">
        <f>VLOOKUP(E388,'1.2-Jaarprijzen'!B:G,6,FALSE)</f>
        <v>1</v>
      </c>
      <c r="E388" s="522" t="s">
        <v>86</v>
      </c>
      <c r="F388" s="302" t="s">
        <v>201</v>
      </c>
      <c r="G388" s="525" t="s">
        <v>348</v>
      </c>
      <c r="H388" s="523" t="s">
        <v>220</v>
      </c>
      <c r="I388" s="303" t="str">
        <f t="shared" si="90"/>
        <v>sanitaire ruimte (toilet-/doucheruimte)</v>
      </c>
      <c r="J388" s="302" t="s">
        <v>221</v>
      </c>
      <c r="K388" s="304">
        <v>6.05</v>
      </c>
      <c r="L388" s="304"/>
      <c r="M388" s="305">
        <v>4200</v>
      </c>
      <c r="N388" s="302"/>
      <c r="O388" s="306">
        <f t="shared" si="94"/>
        <v>200</v>
      </c>
      <c r="P388" s="472">
        <v>1</v>
      </c>
      <c r="Q388" s="472">
        <v>1</v>
      </c>
      <c r="R388" s="300">
        <f t="shared" si="95"/>
        <v>16.214724893583476</v>
      </c>
      <c r="S388" s="300">
        <f t="shared" si="96"/>
        <v>2.8614220400441428</v>
      </c>
      <c r="T388" s="300">
        <f t="shared" si="97"/>
        <v>0</v>
      </c>
      <c r="U388" s="307">
        <f t="shared" si="91"/>
        <v>2.6801198171212359</v>
      </c>
      <c r="V388" s="307">
        <f t="shared" si="92"/>
        <v>0.4729623206684534</v>
      </c>
      <c r="W388" s="307">
        <f t="shared" si="93"/>
        <v>0</v>
      </c>
      <c r="X388" s="308" t="str">
        <f t="shared" si="98"/>
        <v>S</v>
      </c>
      <c r="Y388" s="309"/>
      <c r="Z388" s="310">
        <f>(R388+S388+T388)*'1.0-Contractblad'!$L$37</f>
        <v>579.29819153954713</v>
      </c>
      <c r="AA388" s="310">
        <f ca="1">VLOOKUP(E388,'1.2-Jaarprijzen'!$B$51:$Q$88,16,FALSE)*K388</f>
        <v>0</v>
      </c>
      <c r="AC388" s="226">
        <f t="shared" si="99"/>
        <v>1210</v>
      </c>
      <c r="AD388" s="226" t="str">
        <f t="shared" si="100"/>
        <v>4200-200</v>
      </c>
    </row>
    <row r="389" spans="2:30" ht="12.5">
      <c r="B389" s="336"/>
      <c r="C389" s="337"/>
      <c r="D389" s="302">
        <f>VLOOKUP(E389,'1.2-Jaarprijzen'!B:G,6,FALSE)</f>
        <v>1</v>
      </c>
      <c r="E389" s="522" t="s">
        <v>86</v>
      </c>
      <c r="F389" s="302" t="s">
        <v>201</v>
      </c>
      <c r="G389" s="525" t="s">
        <v>350</v>
      </c>
      <c r="H389" s="524" t="s">
        <v>220</v>
      </c>
      <c r="I389" s="303" t="str">
        <f t="shared" si="90"/>
        <v>sanitaire ruimte (toilet-/doucheruimte)</v>
      </c>
      <c r="J389" s="302" t="s">
        <v>221</v>
      </c>
      <c r="K389" s="304">
        <v>2.4500000000000002</v>
      </c>
      <c r="L389" s="304"/>
      <c r="M389" s="305">
        <v>4200</v>
      </c>
      <c r="N389" s="302"/>
      <c r="O389" s="306">
        <f t="shared" si="94"/>
        <v>200</v>
      </c>
      <c r="P389" s="472">
        <v>1</v>
      </c>
      <c r="Q389" s="472">
        <v>1</v>
      </c>
      <c r="R389" s="300">
        <f t="shared" si="95"/>
        <v>6.5662935519470285</v>
      </c>
      <c r="S389" s="300">
        <f t="shared" si="96"/>
        <v>1.1587576856377109</v>
      </c>
      <c r="T389" s="300">
        <f t="shared" si="97"/>
        <v>0</v>
      </c>
      <c r="U389" s="307">
        <f t="shared" si="91"/>
        <v>2.6801198171212359</v>
      </c>
      <c r="V389" s="307">
        <f t="shared" si="92"/>
        <v>0.4729623206684534</v>
      </c>
      <c r="W389" s="307">
        <f t="shared" si="93"/>
        <v>0</v>
      </c>
      <c r="X389" s="308" t="str">
        <f t="shared" si="98"/>
        <v>S</v>
      </c>
      <c r="Y389" s="309"/>
      <c r="Z389" s="310">
        <f>(R389+S389+T389)*'1.0-Contractblad'!$L$37</f>
        <v>234.59182963171745</v>
      </c>
      <c r="AA389" s="310">
        <f ca="1">VLOOKUP(E389,'1.2-Jaarprijzen'!$B$51:$Q$88,16,FALSE)*K389</f>
        <v>0</v>
      </c>
      <c r="AC389" s="226">
        <f t="shared" si="99"/>
        <v>490.00000000000006</v>
      </c>
      <c r="AD389" s="226" t="str">
        <f t="shared" si="100"/>
        <v>4200-200</v>
      </c>
    </row>
    <row r="390" spans="2:30" ht="12.5">
      <c r="B390" s="336"/>
      <c r="C390" s="337"/>
      <c r="D390" s="302">
        <f>VLOOKUP(E390,'1.2-Jaarprijzen'!B:G,6,FALSE)</f>
        <v>1</v>
      </c>
      <c r="E390" s="522" t="s">
        <v>86</v>
      </c>
      <c r="F390" s="302" t="s">
        <v>201</v>
      </c>
      <c r="G390" s="525" t="s">
        <v>351</v>
      </c>
      <c r="H390" s="523" t="s">
        <v>516</v>
      </c>
      <c r="I390" s="303" t="str">
        <f t="shared" si="90"/>
        <v>niet van toepassing</v>
      </c>
      <c r="J390" s="302" t="s">
        <v>221</v>
      </c>
      <c r="K390" s="304"/>
      <c r="L390" s="304">
        <v>3.5</v>
      </c>
      <c r="M390" s="305" t="s">
        <v>147</v>
      </c>
      <c r="N390" s="302"/>
      <c r="O390" s="306">
        <f t="shared" si="94"/>
        <v>0</v>
      </c>
      <c r="P390" s="472">
        <v>1</v>
      </c>
      <c r="Q390" s="472">
        <v>1</v>
      </c>
      <c r="R390" s="300">
        <f t="shared" si="95"/>
        <v>0</v>
      </c>
      <c r="S390" s="300">
        <f t="shared" si="96"/>
        <v>0</v>
      </c>
      <c r="T390" s="300">
        <f t="shared" si="97"/>
        <v>0</v>
      </c>
      <c r="U390" s="307">
        <f t="shared" si="91"/>
        <v>0</v>
      </c>
      <c r="V390" s="307">
        <f t="shared" si="92"/>
        <v>0</v>
      </c>
      <c r="W390" s="307">
        <f t="shared" si="93"/>
        <v>0</v>
      </c>
      <c r="X390" s="308">
        <f t="shared" si="98"/>
        <v>0</v>
      </c>
      <c r="Y390" s="309"/>
      <c r="Z390" s="310">
        <f>(R390+S390+T390)*'1.0-Contractblad'!$L$37</f>
        <v>0</v>
      </c>
      <c r="AA390" s="310">
        <f ca="1">VLOOKUP(E390,'1.2-Jaarprijzen'!$B$51:$Q$88,16,FALSE)*K390</f>
        <v>0</v>
      </c>
      <c r="AC390" s="226">
        <f t="shared" si="99"/>
        <v>0</v>
      </c>
      <c r="AD390" s="226" t="str">
        <f t="shared" si="100"/>
        <v>nvt-0</v>
      </c>
    </row>
    <row r="391" spans="2:30" ht="12.5">
      <c r="B391" s="336"/>
      <c r="C391" s="337"/>
      <c r="D391" s="302">
        <f>VLOOKUP(E391,'1.2-Jaarprijzen'!B:G,6,FALSE)</f>
        <v>1</v>
      </c>
      <c r="E391" s="522" t="s">
        <v>86</v>
      </c>
      <c r="F391" s="302" t="s">
        <v>201</v>
      </c>
      <c r="G391" s="525" t="s">
        <v>352</v>
      </c>
      <c r="H391" s="523" t="s">
        <v>517</v>
      </c>
      <c r="I391" s="303" t="str">
        <f t="shared" si="90"/>
        <v>niet van toepassing</v>
      </c>
      <c r="J391" s="302" t="s">
        <v>229</v>
      </c>
      <c r="K391" s="304"/>
      <c r="L391" s="304">
        <v>24.45</v>
      </c>
      <c r="M391" s="305" t="s">
        <v>147</v>
      </c>
      <c r="N391" s="302"/>
      <c r="O391" s="306">
        <f t="shared" si="94"/>
        <v>0</v>
      </c>
      <c r="P391" s="472">
        <v>1</v>
      </c>
      <c r="Q391" s="472">
        <v>1</v>
      </c>
      <c r="R391" s="300">
        <f t="shared" si="95"/>
        <v>0</v>
      </c>
      <c r="S391" s="300">
        <f t="shared" si="96"/>
        <v>0</v>
      </c>
      <c r="T391" s="300">
        <f t="shared" si="97"/>
        <v>0</v>
      </c>
      <c r="U391" s="307">
        <f t="shared" si="91"/>
        <v>0</v>
      </c>
      <c r="V391" s="307">
        <f t="shared" si="92"/>
        <v>0</v>
      </c>
      <c r="W391" s="307">
        <f t="shared" si="93"/>
        <v>0</v>
      </c>
      <c r="X391" s="308">
        <f t="shared" si="98"/>
        <v>0</v>
      </c>
      <c r="Y391" s="309"/>
      <c r="Z391" s="310">
        <f>(R391+S391+T391)*'1.0-Contractblad'!$L$37</f>
        <v>0</v>
      </c>
      <c r="AA391" s="310">
        <f ca="1">VLOOKUP(E391,'1.2-Jaarprijzen'!$B$51:$Q$88,16,FALSE)*K391</f>
        <v>0</v>
      </c>
      <c r="AC391" s="226">
        <f t="shared" si="99"/>
        <v>0</v>
      </c>
      <c r="AD391" s="226" t="str">
        <f t="shared" si="100"/>
        <v>nvt-0</v>
      </c>
    </row>
    <row r="392" spans="2:30" ht="12.5">
      <c r="B392" s="336"/>
      <c r="C392" s="337"/>
      <c r="D392" s="302">
        <f>VLOOKUP(E392,'1.2-Jaarprijzen'!B:G,6,FALSE)</f>
        <v>1</v>
      </c>
      <c r="E392" s="522" t="s">
        <v>86</v>
      </c>
      <c r="F392" s="302" t="s">
        <v>201</v>
      </c>
      <c r="G392" s="525" t="s">
        <v>353</v>
      </c>
      <c r="H392" s="523" t="s">
        <v>515</v>
      </c>
      <c r="I392" s="303" t="str">
        <f t="shared" si="90"/>
        <v>leslokaal/leerplein</v>
      </c>
      <c r="J392" s="302" t="s">
        <v>218</v>
      </c>
      <c r="K392" s="304">
        <v>74.900000000000006</v>
      </c>
      <c r="L392" s="304"/>
      <c r="M392" s="305">
        <v>7200</v>
      </c>
      <c r="N392" s="302"/>
      <c r="O392" s="306">
        <f t="shared" si="94"/>
        <v>200</v>
      </c>
      <c r="P392" s="472">
        <v>1</v>
      </c>
      <c r="Q392" s="472">
        <v>1</v>
      </c>
      <c r="R392" s="300">
        <f t="shared" si="95"/>
        <v>39.178461538461541</v>
      </c>
      <c r="S392" s="300">
        <f t="shared" si="96"/>
        <v>6.9138461538461549</v>
      </c>
      <c r="T392" s="300">
        <f t="shared" si="97"/>
        <v>0</v>
      </c>
      <c r="U392" s="307">
        <f t="shared" si="91"/>
        <v>0.52307692307692311</v>
      </c>
      <c r="V392" s="307">
        <f t="shared" si="92"/>
        <v>9.2307692307692313E-2</v>
      </c>
      <c r="W392" s="307">
        <f t="shared" si="93"/>
        <v>0</v>
      </c>
      <c r="X392" s="308" t="str">
        <f t="shared" si="98"/>
        <v>L</v>
      </c>
      <c r="Y392" s="309"/>
      <c r="Z392" s="310">
        <f>(R392+S392+T392)*'1.0-Contractblad'!$L$37</f>
        <v>1399.7161262670443</v>
      </c>
      <c r="AA392" s="310">
        <f ca="1">VLOOKUP(E392,'1.2-Jaarprijzen'!$B$51:$Q$88,16,FALSE)*K392</f>
        <v>0</v>
      </c>
      <c r="AC392" s="226">
        <f t="shared" si="99"/>
        <v>14980.000000000002</v>
      </c>
      <c r="AD392" s="226" t="str">
        <f t="shared" si="100"/>
        <v>7200-200</v>
      </c>
    </row>
    <row r="393" spans="2:30" ht="12.5">
      <c r="B393" s="336"/>
      <c r="C393" s="337"/>
      <c r="D393" s="302">
        <f>VLOOKUP(E393,'1.2-Jaarprijzen'!B:G,6,FALSE)</f>
        <v>1</v>
      </c>
      <c r="E393" s="522" t="s">
        <v>86</v>
      </c>
      <c r="F393" s="302" t="s">
        <v>201</v>
      </c>
      <c r="G393" s="525" t="s">
        <v>354</v>
      </c>
      <c r="H393" s="523" t="s">
        <v>220</v>
      </c>
      <c r="I393" s="303" t="str">
        <f t="shared" si="90"/>
        <v>sanitaire ruimte (toilet-/doucheruimte)</v>
      </c>
      <c r="J393" s="302" t="s">
        <v>221</v>
      </c>
      <c r="K393" s="304">
        <v>4.55</v>
      </c>
      <c r="L393" s="304"/>
      <c r="M393" s="305">
        <v>4200</v>
      </c>
      <c r="N393" s="302"/>
      <c r="O393" s="306">
        <f t="shared" si="94"/>
        <v>200</v>
      </c>
      <c r="P393" s="472">
        <v>1</v>
      </c>
      <c r="Q393" s="472">
        <v>1</v>
      </c>
      <c r="R393" s="300">
        <f t="shared" si="95"/>
        <v>12.194545167901623</v>
      </c>
      <c r="S393" s="300">
        <f t="shared" si="96"/>
        <v>2.1519785590414631</v>
      </c>
      <c r="T393" s="300">
        <f t="shared" si="97"/>
        <v>0</v>
      </c>
      <c r="U393" s="307">
        <f t="shared" si="91"/>
        <v>2.6801198171212359</v>
      </c>
      <c r="V393" s="307">
        <f t="shared" si="92"/>
        <v>0.4729623206684534</v>
      </c>
      <c r="W393" s="307">
        <f t="shared" si="93"/>
        <v>0</v>
      </c>
      <c r="X393" s="308" t="str">
        <f t="shared" si="98"/>
        <v>S</v>
      </c>
      <c r="Y393" s="309"/>
      <c r="Z393" s="310">
        <f>(R393+S393+T393)*'1.0-Contractblad'!$L$37</f>
        <v>435.67054074461811</v>
      </c>
      <c r="AA393" s="310">
        <f ca="1">VLOOKUP(E393,'1.2-Jaarprijzen'!$B$51:$Q$88,16,FALSE)*K393</f>
        <v>0</v>
      </c>
      <c r="AC393" s="226">
        <f t="shared" si="99"/>
        <v>910</v>
      </c>
      <c r="AD393" s="226" t="str">
        <f t="shared" si="100"/>
        <v>4200-200</v>
      </c>
    </row>
    <row r="394" spans="2:30" ht="12.5">
      <c r="B394" s="336"/>
      <c r="C394" s="337"/>
      <c r="D394" s="302">
        <f>VLOOKUP(E394,'1.2-Jaarprijzen'!B:G,6,FALSE)</f>
        <v>1</v>
      </c>
      <c r="E394" s="522" t="s">
        <v>86</v>
      </c>
      <c r="F394" s="302" t="s">
        <v>201</v>
      </c>
      <c r="G394" s="525" t="s">
        <v>355</v>
      </c>
      <c r="H394" s="523" t="s">
        <v>518</v>
      </c>
      <c r="I394" s="303" t="str">
        <f t="shared" si="90"/>
        <v>niet van toepassing</v>
      </c>
      <c r="J394" s="302" t="s">
        <v>208</v>
      </c>
      <c r="K394" s="304"/>
      <c r="L394" s="304">
        <v>3.8</v>
      </c>
      <c r="M394" s="305" t="s">
        <v>147</v>
      </c>
      <c r="N394" s="302"/>
      <c r="O394" s="306">
        <f t="shared" si="94"/>
        <v>0</v>
      </c>
      <c r="P394" s="472">
        <v>1</v>
      </c>
      <c r="Q394" s="472">
        <v>1</v>
      </c>
      <c r="R394" s="300">
        <f t="shared" si="95"/>
        <v>0</v>
      </c>
      <c r="S394" s="300">
        <f t="shared" si="96"/>
        <v>0</v>
      </c>
      <c r="T394" s="300">
        <f t="shared" si="97"/>
        <v>0</v>
      </c>
      <c r="U394" s="307">
        <f t="shared" si="91"/>
        <v>0</v>
      </c>
      <c r="V394" s="307">
        <f t="shared" si="92"/>
        <v>0</v>
      </c>
      <c r="W394" s="307">
        <f t="shared" si="93"/>
        <v>0</v>
      </c>
      <c r="X394" s="308">
        <f t="shared" si="98"/>
        <v>0</v>
      </c>
      <c r="Y394" s="309"/>
      <c r="Z394" s="310">
        <f>(R394+S394+T394)*'1.0-Contractblad'!$L$37</f>
        <v>0</v>
      </c>
      <c r="AA394" s="310">
        <f ca="1">VLOOKUP(E394,'1.2-Jaarprijzen'!$B$51:$Q$88,16,FALSE)*K394</f>
        <v>0</v>
      </c>
      <c r="AC394" s="226">
        <f t="shared" si="99"/>
        <v>0</v>
      </c>
      <c r="AD394" s="226" t="str">
        <f t="shared" si="100"/>
        <v>nvt-0</v>
      </c>
    </row>
    <row r="395" spans="2:30" ht="12.5">
      <c r="B395" s="336"/>
      <c r="C395" s="337"/>
      <c r="D395" s="302">
        <f>VLOOKUP(E395,'1.2-Jaarprijzen'!B:G,6,FALSE)</f>
        <v>1</v>
      </c>
      <c r="E395" s="522" t="s">
        <v>86</v>
      </c>
      <c r="F395" s="302" t="s">
        <v>201</v>
      </c>
      <c r="G395" s="525" t="s">
        <v>356</v>
      </c>
      <c r="H395" s="523" t="s">
        <v>515</v>
      </c>
      <c r="I395" s="303" t="str">
        <f t="shared" si="90"/>
        <v>leslokaal/leerplein</v>
      </c>
      <c r="J395" s="302" t="s">
        <v>218</v>
      </c>
      <c r="K395" s="304">
        <v>74.75</v>
      </c>
      <c r="L395" s="304"/>
      <c r="M395" s="305">
        <v>7200</v>
      </c>
      <c r="N395" s="302"/>
      <c r="O395" s="306">
        <f t="shared" si="94"/>
        <v>200</v>
      </c>
      <c r="P395" s="472">
        <v>1</v>
      </c>
      <c r="Q395" s="472">
        <v>1</v>
      </c>
      <c r="R395" s="300">
        <f t="shared" si="95"/>
        <v>39.1</v>
      </c>
      <c r="S395" s="300">
        <f t="shared" si="96"/>
        <v>6.9</v>
      </c>
      <c r="T395" s="300">
        <f t="shared" si="97"/>
        <v>0</v>
      </c>
      <c r="U395" s="307">
        <f t="shared" si="91"/>
        <v>0.52307692307692311</v>
      </c>
      <c r="V395" s="307">
        <f t="shared" si="92"/>
        <v>9.2307692307692313E-2</v>
      </c>
      <c r="W395" s="307">
        <f t="shared" si="93"/>
        <v>0</v>
      </c>
      <c r="X395" s="308" t="str">
        <f t="shared" si="98"/>
        <v>L</v>
      </c>
      <c r="Y395" s="309"/>
      <c r="Z395" s="310">
        <f>(R395+S395+T395)*'1.0-Contractblad'!$L$37</f>
        <v>1396.9129564547602</v>
      </c>
      <c r="AA395" s="310">
        <f ca="1">VLOOKUP(E395,'1.2-Jaarprijzen'!$B$51:$Q$88,16,FALSE)*K395</f>
        <v>0</v>
      </c>
      <c r="AC395" s="226">
        <f t="shared" si="99"/>
        <v>14950</v>
      </c>
      <c r="AD395" s="226" t="str">
        <f t="shared" si="100"/>
        <v>7200-200</v>
      </c>
    </row>
    <row r="396" spans="2:30" ht="12.5">
      <c r="B396" s="336"/>
      <c r="C396" s="337"/>
      <c r="D396" s="302">
        <f>VLOOKUP(E396,'1.2-Jaarprijzen'!B:G,6,FALSE)</f>
        <v>1</v>
      </c>
      <c r="E396" s="522" t="s">
        <v>86</v>
      </c>
      <c r="F396" s="302" t="s">
        <v>201</v>
      </c>
      <c r="G396" s="525" t="s">
        <v>446</v>
      </c>
      <c r="H396" s="523" t="s">
        <v>220</v>
      </c>
      <c r="I396" s="303" t="str">
        <f t="shared" si="90"/>
        <v>sanitaire ruimte (toilet-/doucheruimte)</v>
      </c>
      <c r="J396" s="302" t="s">
        <v>221</v>
      </c>
      <c r="K396" s="304">
        <v>4.4000000000000004</v>
      </c>
      <c r="L396" s="304"/>
      <c r="M396" s="305">
        <v>4200</v>
      </c>
      <c r="N396" s="302"/>
      <c r="O396" s="306">
        <f t="shared" si="94"/>
        <v>200</v>
      </c>
      <c r="P396" s="472">
        <v>1</v>
      </c>
      <c r="Q396" s="472">
        <v>1</v>
      </c>
      <c r="R396" s="300">
        <f t="shared" si="95"/>
        <v>11.79252719533344</v>
      </c>
      <c r="S396" s="300">
        <f t="shared" si="96"/>
        <v>2.081034210941195</v>
      </c>
      <c r="T396" s="300">
        <f t="shared" si="97"/>
        <v>0</v>
      </c>
      <c r="U396" s="307">
        <f t="shared" si="91"/>
        <v>2.6801198171212359</v>
      </c>
      <c r="V396" s="307">
        <f t="shared" si="92"/>
        <v>0.4729623206684534</v>
      </c>
      <c r="W396" s="307">
        <f t="shared" si="93"/>
        <v>0</v>
      </c>
      <c r="X396" s="308" t="str">
        <f t="shared" si="98"/>
        <v>S</v>
      </c>
      <c r="Y396" s="309"/>
      <c r="Z396" s="310">
        <f>(R396+S396+T396)*'1.0-Contractblad'!$L$37</f>
        <v>421.30777566512529</v>
      </c>
      <c r="AA396" s="310">
        <f ca="1">VLOOKUP(E396,'1.2-Jaarprijzen'!$B$51:$Q$88,16,FALSE)*K396</f>
        <v>0</v>
      </c>
      <c r="AC396" s="226">
        <f t="shared" si="99"/>
        <v>880.00000000000011</v>
      </c>
      <c r="AD396" s="226" t="str">
        <f t="shared" si="100"/>
        <v>4200-200</v>
      </c>
    </row>
    <row r="397" spans="2:30" ht="12.5">
      <c r="B397" s="336"/>
      <c r="C397" s="337"/>
      <c r="D397" s="302">
        <f>VLOOKUP(E397,'1.2-Jaarprijzen'!B:G,6,FALSE)</f>
        <v>1</v>
      </c>
      <c r="E397" s="522" t="s">
        <v>86</v>
      </c>
      <c r="F397" s="302" t="s">
        <v>201</v>
      </c>
      <c r="G397" s="525" t="s">
        <v>447</v>
      </c>
      <c r="H397" s="523" t="s">
        <v>207</v>
      </c>
      <c r="I397" s="303" t="str">
        <f t="shared" si="90"/>
        <v>niet van toepassing</v>
      </c>
      <c r="J397" s="302" t="s">
        <v>208</v>
      </c>
      <c r="K397" s="304"/>
      <c r="L397" s="304">
        <v>3.4</v>
      </c>
      <c r="M397" s="305" t="s">
        <v>147</v>
      </c>
      <c r="N397" s="302"/>
      <c r="O397" s="306">
        <f t="shared" si="94"/>
        <v>0</v>
      </c>
      <c r="P397" s="472">
        <v>1</v>
      </c>
      <c r="Q397" s="472">
        <v>1</v>
      </c>
      <c r="R397" s="300">
        <f t="shared" si="95"/>
        <v>0</v>
      </c>
      <c r="S397" s="300">
        <f t="shared" si="96"/>
        <v>0</v>
      </c>
      <c r="T397" s="300">
        <f t="shared" si="97"/>
        <v>0</v>
      </c>
      <c r="U397" s="307">
        <f t="shared" si="91"/>
        <v>0</v>
      </c>
      <c r="V397" s="307">
        <f t="shared" si="92"/>
        <v>0</v>
      </c>
      <c r="W397" s="307">
        <f t="shared" si="93"/>
        <v>0</v>
      </c>
      <c r="X397" s="308">
        <f t="shared" si="98"/>
        <v>0</v>
      </c>
      <c r="Y397" s="309"/>
      <c r="Z397" s="310">
        <f>(R397+S397+T397)*'1.0-Contractblad'!$L$37</f>
        <v>0</v>
      </c>
      <c r="AA397" s="310">
        <f ca="1">VLOOKUP(E397,'1.2-Jaarprijzen'!$B$51:$Q$88,16,FALSE)*K397</f>
        <v>0</v>
      </c>
      <c r="AC397" s="226">
        <f t="shared" si="99"/>
        <v>0</v>
      </c>
      <c r="AD397" s="226" t="str">
        <f t="shared" si="100"/>
        <v>nvt-0</v>
      </c>
    </row>
    <row r="398" spans="2:30" ht="12.5">
      <c r="B398" s="336"/>
      <c r="C398" s="337"/>
      <c r="D398" s="302">
        <f>VLOOKUP(E398,'1.2-Jaarprijzen'!B:G,6,FALSE)</f>
        <v>1</v>
      </c>
      <c r="E398" s="522" t="s">
        <v>86</v>
      </c>
      <c r="F398" s="302" t="s">
        <v>201</v>
      </c>
      <c r="G398" s="525" t="s">
        <v>357</v>
      </c>
      <c r="H398" s="523" t="s">
        <v>135</v>
      </c>
      <c r="I398" s="303" t="str">
        <f t="shared" si="90"/>
        <v>trappenhuis</v>
      </c>
      <c r="J398" s="302" t="s">
        <v>435</v>
      </c>
      <c r="K398" s="304">
        <v>8.4</v>
      </c>
      <c r="L398" s="304"/>
      <c r="M398" s="305">
        <v>9200</v>
      </c>
      <c r="N398" s="302"/>
      <c r="O398" s="306">
        <f t="shared" si="94"/>
        <v>200</v>
      </c>
      <c r="P398" s="472">
        <v>1</v>
      </c>
      <c r="Q398" s="472">
        <v>1</v>
      </c>
      <c r="R398" s="300">
        <f t="shared" si="95"/>
        <v>5.9281083704907314</v>
      </c>
      <c r="S398" s="300">
        <f t="shared" si="96"/>
        <v>0.36943284047985719</v>
      </c>
      <c r="T398" s="300">
        <f t="shared" si="97"/>
        <v>0</v>
      </c>
      <c r="U398" s="307">
        <f t="shared" si="91"/>
        <v>0.70572718696318226</v>
      </c>
      <c r="V398" s="307">
        <f t="shared" si="92"/>
        <v>4.3980100057125854E-2</v>
      </c>
      <c r="W398" s="307">
        <f t="shared" si="93"/>
        <v>0</v>
      </c>
      <c r="X398" s="308" t="str">
        <f t="shared" si="98"/>
        <v>V</v>
      </c>
      <c r="Y398" s="309"/>
      <c r="Z398" s="310">
        <f>(R398+S398+T398)*'1.0-Contractblad'!$L$37</f>
        <v>191.24167198723077</v>
      </c>
      <c r="AA398" s="310">
        <f ca="1">VLOOKUP(E398,'1.2-Jaarprijzen'!$B$51:$Q$88,16,FALSE)*K398</f>
        <v>0</v>
      </c>
      <c r="AC398" s="226">
        <f t="shared" si="99"/>
        <v>1680</v>
      </c>
      <c r="AD398" s="226" t="str">
        <f t="shared" si="100"/>
        <v>9200-200</v>
      </c>
    </row>
    <row r="399" spans="2:30" ht="12.5">
      <c r="B399" s="336"/>
      <c r="C399" s="337"/>
      <c r="D399" s="302">
        <f>VLOOKUP(E399,'1.2-Jaarprijzen'!B:G,6,FALSE)</f>
        <v>1</v>
      </c>
      <c r="E399" s="522" t="s">
        <v>86</v>
      </c>
      <c r="F399" s="302" t="s">
        <v>201</v>
      </c>
      <c r="G399" s="525" t="s">
        <v>448</v>
      </c>
      <c r="H399" s="523" t="s">
        <v>519</v>
      </c>
      <c r="I399" s="303" t="str">
        <f t="shared" si="90"/>
        <v>leslokaal/leerplein</v>
      </c>
      <c r="J399" s="302" t="s">
        <v>218</v>
      </c>
      <c r="K399" s="304">
        <v>43.55</v>
      </c>
      <c r="L399" s="304"/>
      <c r="M399" s="305">
        <v>7200</v>
      </c>
      <c r="N399" s="302"/>
      <c r="O399" s="306">
        <f t="shared" si="94"/>
        <v>200</v>
      </c>
      <c r="P399" s="472">
        <v>1</v>
      </c>
      <c r="Q399" s="472">
        <v>1</v>
      </c>
      <c r="R399" s="300">
        <f t="shared" si="95"/>
        <v>22.78</v>
      </c>
      <c r="S399" s="300">
        <f t="shared" si="96"/>
        <v>4.0199999999999996</v>
      </c>
      <c r="T399" s="300">
        <f t="shared" si="97"/>
        <v>0</v>
      </c>
      <c r="U399" s="307">
        <f t="shared" si="91"/>
        <v>0.52307692307692311</v>
      </c>
      <c r="V399" s="307">
        <f t="shared" si="92"/>
        <v>9.2307692307692313E-2</v>
      </c>
      <c r="W399" s="307">
        <f t="shared" si="93"/>
        <v>0</v>
      </c>
      <c r="X399" s="308" t="str">
        <f t="shared" si="98"/>
        <v>L</v>
      </c>
      <c r="Y399" s="309"/>
      <c r="Z399" s="310">
        <f>(R399+S399+T399)*'1.0-Contractblad'!$L$37</f>
        <v>813.85363549972988</v>
      </c>
      <c r="AA399" s="310">
        <f ca="1">VLOOKUP(E399,'1.2-Jaarprijzen'!$B$51:$Q$88,16,FALSE)*K399</f>
        <v>0</v>
      </c>
      <c r="AC399" s="226">
        <f t="shared" si="99"/>
        <v>8710</v>
      </c>
      <c r="AD399" s="226" t="str">
        <f t="shared" si="100"/>
        <v>7200-200</v>
      </c>
    </row>
    <row r="400" spans="2:30" ht="12.5">
      <c r="B400" s="336"/>
      <c r="C400" s="337"/>
      <c r="D400" s="302">
        <f>VLOOKUP(E400,'1.2-Jaarprijzen'!B:G,6,FALSE)</f>
        <v>1</v>
      </c>
      <c r="E400" s="522" t="s">
        <v>86</v>
      </c>
      <c r="F400" s="302" t="s">
        <v>201</v>
      </c>
      <c r="G400" s="525" t="s">
        <v>359</v>
      </c>
      <c r="H400" s="523" t="s">
        <v>520</v>
      </c>
      <c r="I400" s="303" t="str">
        <f t="shared" si="90"/>
        <v>niet van toepassing</v>
      </c>
      <c r="J400" s="302" t="s">
        <v>435</v>
      </c>
      <c r="K400" s="304"/>
      <c r="L400" s="304">
        <v>35</v>
      </c>
      <c r="M400" s="305" t="s">
        <v>147</v>
      </c>
      <c r="N400" s="302"/>
      <c r="O400" s="306">
        <f t="shared" si="94"/>
        <v>0</v>
      </c>
      <c r="P400" s="472">
        <v>1</v>
      </c>
      <c r="Q400" s="472">
        <v>1</v>
      </c>
      <c r="R400" s="300">
        <f t="shared" si="95"/>
        <v>0</v>
      </c>
      <c r="S400" s="300">
        <f t="shared" si="96"/>
        <v>0</v>
      </c>
      <c r="T400" s="300">
        <f t="shared" si="97"/>
        <v>0</v>
      </c>
      <c r="U400" s="307">
        <f t="shared" si="91"/>
        <v>0</v>
      </c>
      <c r="V400" s="307">
        <f t="shared" si="92"/>
        <v>0</v>
      </c>
      <c r="W400" s="307">
        <f t="shared" si="93"/>
        <v>0</v>
      </c>
      <c r="X400" s="308">
        <f t="shared" si="98"/>
        <v>0</v>
      </c>
      <c r="Y400" s="309"/>
      <c r="Z400" s="310">
        <f>(R400+S400+T400)*'1.0-Contractblad'!$L$37</f>
        <v>0</v>
      </c>
      <c r="AA400" s="310">
        <f ca="1">VLOOKUP(E400,'1.2-Jaarprijzen'!$B$51:$Q$88,16,FALSE)*K400</f>
        <v>0</v>
      </c>
      <c r="AC400" s="226">
        <f t="shared" si="99"/>
        <v>0</v>
      </c>
      <c r="AD400" s="226" t="str">
        <f t="shared" si="100"/>
        <v>nvt-0</v>
      </c>
    </row>
    <row r="401" spans="2:30" ht="12.5">
      <c r="B401" s="336"/>
      <c r="C401" s="337"/>
      <c r="D401" s="302">
        <f>VLOOKUP(E401,'1.2-Jaarprijzen'!B:G,6,FALSE)</f>
        <v>1</v>
      </c>
      <c r="E401" s="522" t="s">
        <v>86</v>
      </c>
      <c r="F401" s="302" t="s">
        <v>201</v>
      </c>
      <c r="G401" s="525" t="s">
        <v>449</v>
      </c>
      <c r="H401" s="523" t="s">
        <v>521</v>
      </c>
      <c r="I401" s="303" t="str">
        <f t="shared" si="90"/>
        <v>aula, gemeenschappelijke ruimte, bibliotheek</v>
      </c>
      <c r="J401" s="302" t="s">
        <v>218</v>
      </c>
      <c r="K401" s="304">
        <v>104.2</v>
      </c>
      <c r="L401" s="304"/>
      <c r="M401" s="305">
        <v>2200</v>
      </c>
      <c r="N401" s="302"/>
      <c r="O401" s="306">
        <f t="shared" si="94"/>
        <v>200</v>
      </c>
      <c r="P401" s="472">
        <v>1</v>
      </c>
      <c r="Q401" s="472">
        <v>1</v>
      </c>
      <c r="R401" s="300">
        <f t="shared" si="95"/>
        <v>39.859062402470705</v>
      </c>
      <c r="S401" s="300">
        <f t="shared" si="96"/>
        <v>11.403528548300441</v>
      </c>
      <c r="T401" s="300">
        <f t="shared" si="97"/>
        <v>0</v>
      </c>
      <c r="U401" s="307">
        <f t="shared" si="91"/>
        <v>0.38252459119453652</v>
      </c>
      <c r="V401" s="307">
        <f t="shared" si="92"/>
        <v>0.10943885363052247</v>
      </c>
      <c r="W401" s="307">
        <f t="shared" si="93"/>
        <v>0</v>
      </c>
      <c r="X401" s="308" t="str">
        <f t="shared" si="98"/>
        <v>V</v>
      </c>
      <c r="Y401" s="309"/>
      <c r="Z401" s="310">
        <f>(R401+S401+T401)*'1.0-Contractblad'!$L$37</f>
        <v>1556.7255974037557</v>
      </c>
      <c r="AA401" s="310">
        <f ca="1">VLOOKUP(E401,'1.2-Jaarprijzen'!$B$51:$Q$88,16,FALSE)*K401</f>
        <v>0</v>
      </c>
      <c r="AC401" s="226">
        <f t="shared" si="99"/>
        <v>20840</v>
      </c>
      <c r="AD401" s="226" t="str">
        <f t="shared" si="100"/>
        <v>2200-200</v>
      </c>
    </row>
    <row r="402" spans="2:30" ht="12.5">
      <c r="B402" s="336"/>
      <c r="C402" s="337"/>
      <c r="D402" s="302">
        <f>VLOOKUP(E402,'1.2-Jaarprijzen'!B:G,6,FALSE)</f>
        <v>1</v>
      </c>
      <c r="E402" s="522" t="s">
        <v>86</v>
      </c>
      <c r="F402" s="302" t="s">
        <v>201</v>
      </c>
      <c r="G402" s="525" t="s">
        <v>450</v>
      </c>
      <c r="H402" s="523" t="s">
        <v>207</v>
      </c>
      <c r="I402" s="303" t="str">
        <f t="shared" si="90"/>
        <v>niet van toepassing</v>
      </c>
      <c r="J402" s="302"/>
      <c r="K402" s="304"/>
      <c r="L402" s="304">
        <v>1.5</v>
      </c>
      <c r="M402" s="305" t="s">
        <v>147</v>
      </c>
      <c r="N402" s="302"/>
      <c r="O402" s="306">
        <f t="shared" si="94"/>
        <v>0</v>
      </c>
      <c r="P402" s="472">
        <v>1</v>
      </c>
      <c r="Q402" s="472">
        <v>1</v>
      </c>
      <c r="R402" s="300">
        <f t="shared" si="95"/>
        <v>0</v>
      </c>
      <c r="S402" s="300">
        <f t="shared" si="96"/>
        <v>0</v>
      </c>
      <c r="T402" s="300">
        <f t="shared" si="97"/>
        <v>0</v>
      </c>
      <c r="U402" s="307">
        <f t="shared" si="91"/>
        <v>0</v>
      </c>
      <c r="V402" s="307">
        <f t="shared" si="92"/>
        <v>0</v>
      </c>
      <c r="W402" s="307">
        <f t="shared" si="93"/>
        <v>0</v>
      </c>
      <c r="X402" s="308">
        <f t="shared" si="98"/>
        <v>0</v>
      </c>
      <c r="Y402" s="309"/>
      <c r="Z402" s="310">
        <f>(R402+S402+T402)*'1.0-Contractblad'!$L$37</f>
        <v>0</v>
      </c>
      <c r="AA402" s="310">
        <f ca="1">VLOOKUP(E402,'1.2-Jaarprijzen'!$B$51:$Q$88,16,FALSE)*K402</f>
        <v>0</v>
      </c>
      <c r="AC402" s="226">
        <f t="shared" si="99"/>
        <v>0</v>
      </c>
      <c r="AD402" s="226" t="str">
        <f t="shared" si="100"/>
        <v>nvt-0</v>
      </c>
    </row>
    <row r="403" spans="2:30" ht="12.5">
      <c r="B403" s="336"/>
      <c r="C403" s="337"/>
      <c r="D403" s="302">
        <f>VLOOKUP(E403,'1.2-Jaarprijzen'!B:G,6,FALSE)</f>
        <v>1</v>
      </c>
      <c r="E403" s="522" t="s">
        <v>86</v>
      </c>
      <c r="F403" s="302" t="s">
        <v>201</v>
      </c>
      <c r="G403" s="525" t="s">
        <v>451</v>
      </c>
      <c r="H403" s="522" t="s">
        <v>327</v>
      </c>
      <c r="I403" s="303" t="str">
        <f t="shared" si="90"/>
        <v>sanitaire ruimte (toilet-/doucheruimte)</v>
      </c>
      <c r="J403" s="302" t="s">
        <v>229</v>
      </c>
      <c r="K403" s="304">
        <v>4.2</v>
      </c>
      <c r="L403" s="304"/>
      <c r="M403" s="305">
        <v>4200</v>
      </c>
      <c r="N403" s="302"/>
      <c r="O403" s="306">
        <f t="shared" si="94"/>
        <v>200</v>
      </c>
      <c r="P403" s="472">
        <v>1</v>
      </c>
      <c r="Q403" s="472">
        <v>1</v>
      </c>
      <c r="R403" s="300">
        <f t="shared" si="95"/>
        <v>11.256503231909191</v>
      </c>
      <c r="S403" s="300">
        <f t="shared" si="96"/>
        <v>1.9864417468075044</v>
      </c>
      <c r="T403" s="300">
        <f t="shared" si="97"/>
        <v>0</v>
      </c>
      <c r="U403" s="307">
        <f t="shared" si="91"/>
        <v>2.6801198171212359</v>
      </c>
      <c r="V403" s="307">
        <f t="shared" si="92"/>
        <v>0.4729623206684534</v>
      </c>
      <c r="W403" s="307">
        <f t="shared" si="93"/>
        <v>0</v>
      </c>
      <c r="X403" s="308" t="str">
        <f t="shared" si="98"/>
        <v>S</v>
      </c>
      <c r="Y403" s="309"/>
      <c r="Z403" s="310">
        <f>(R403+S403+T403)*'1.0-Contractblad'!$L$37</f>
        <v>402.15742222580133</v>
      </c>
      <c r="AA403" s="310">
        <f ca="1">VLOOKUP(E403,'1.2-Jaarprijzen'!$B$51:$Q$88,16,FALSE)*K403</f>
        <v>0</v>
      </c>
      <c r="AC403" s="226">
        <f t="shared" si="99"/>
        <v>840</v>
      </c>
      <c r="AD403" s="226" t="str">
        <f t="shared" si="100"/>
        <v>4200-200</v>
      </c>
    </row>
    <row r="404" spans="2:30" ht="12.5">
      <c r="B404" s="336"/>
      <c r="C404" s="337"/>
      <c r="D404" s="302">
        <f>VLOOKUP(E404,'1.2-Jaarprijzen'!B:G,6,FALSE)</f>
        <v>1</v>
      </c>
      <c r="E404" s="522" t="s">
        <v>86</v>
      </c>
      <c r="F404" s="302" t="s">
        <v>201</v>
      </c>
      <c r="G404" s="525" t="s">
        <v>453</v>
      </c>
      <c r="H404" s="523" t="s">
        <v>280</v>
      </c>
      <c r="I404" s="303" t="str">
        <f t="shared" ref="I404:I467" si="101">IF($M404="",0,VLOOKUP($M404,Kengetal,4,FALSE))</f>
        <v>entree, gang, hal, repro, kopieer, was/droogruimte</v>
      </c>
      <c r="J404" s="302" t="s">
        <v>218</v>
      </c>
      <c r="K404" s="304">
        <v>98.45</v>
      </c>
      <c r="L404" s="304"/>
      <c r="M404" s="305">
        <v>3200</v>
      </c>
      <c r="N404" s="302"/>
      <c r="O404" s="306">
        <f t="shared" si="94"/>
        <v>200</v>
      </c>
      <c r="P404" s="472">
        <v>1</v>
      </c>
      <c r="Q404" s="472">
        <v>1</v>
      </c>
      <c r="R404" s="300">
        <f t="shared" si="95"/>
        <v>37.055382163480161</v>
      </c>
      <c r="S404" s="300">
        <f t="shared" si="96"/>
        <v>11.177031033006244</v>
      </c>
      <c r="T404" s="300">
        <f t="shared" si="97"/>
        <v>0</v>
      </c>
      <c r="U404" s="307">
        <f t="shared" si="91"/>
        <v>0.37638783304703055</v>
      </c>
      <c r="V404" s="307">
        <f t="shared" si="92"/>
        <v>0.11353002572885977</v>
      </c>
      <c r="W404" s="307">
        <f t="shared" si="93"/>
        <v>0</v>
      </c>
      <c r="X404" s="308" t="str">
        <f t="shared" si="98"/>
        <v>V</v>
      </c>
      <c r="Y404" s="309"/>
      <c r="Z404" s="310">
        <f>(R404+S404+T404)*'1.0-Contractblad'!$L$37</f>
        <v>1464.7061503315524</v>
      </c>
      <c r="AA404" s="310">
        <f ca="1">VLOOKUP(E404,'1.2-Jaarprijzen'!$B$51:$Q$88,16,FALSE)*K404</f>
        <v>0</v>
      </c>
      <c r="AC404" s="226">
        <f t="shared" si="99"/>
        <v>19690</v>
      </c>
      <c r="AD404" s="226" t="str">
        <f t="shared" si="100"/>
        <v>3200-200</v>
      </c>
    </row>
    <row r="405" spans="2:30" ht="12.5">
      <c r="B405" s="336"/>
      <c r="C405" s="337"/>
      <c r="D405" s="302">
        <f>VLOOKUP(E405,'1.2-Jaarprijzen'!B:G,6,FALSE)</f>
        <v>1</v>
      </c>
      <c r="E405" s="522" t="s">
        <v>86</v>
      </c>
      <c r="F405" s="302" t="s">
        <v>201</v>
      </c>
      <c r="G405" s="525" t="s">
        <v>454</v>
      </c>
      <c r="H405" s="523" t="s">
        <v>280</v>
      </c>
      <c r="I405" s="303" t="str">
        <f t="shared" si="101"/>
        <v>entree, gang, hal, repro, kopieer, was/droogruimte</v>
      </c>
      <c r="J405" s="302" t="s">
        <v>218</v>
      </c>
      <c r="K405" s="304">
        <v>15.9</v>
      </c>
      <c r="L405" s="304"/>
      <c r="M405" s="305">
        <v>3200</v>
      </c>
      <c r="N405" s="302"/>
      <c r="O405" s="306">
        <f t="shared" si="94"/>
        <v>200</v>
      </c>
      <c r="P405" s="472">
        <v>1</v>
      </c>
      <c r="Q405" s="472">
        <v>1</v>
      </c>
      <c r="R405" s="300">
        <f t="shared" si="95"/>
        <v>5.9845665454477857</v>
      </c>
      <c r="S405" s="300">
        <f t="shared" si="96"/>
        <v>1.8051274090888705</v>
      </c>
      <c r="T405" s="300">
        <f t="shared" si="97"/>
        <v>0</v>
      </c>
      <c r="U405" s="307">
        <f t="shared" si="91"/>
        <v>0.37638783304703055</v>
      </c>
      <c r="V405" s="307">
        <f t="shared" si="92"/>
        <v>0.11353002572885977</v>
      </c>
      <c r="W405" s="307">
        <f t="shared" si="93"/>
        <v>0</v>
      </c>
      <c r="X405" s="308" t="str">
        <f t="shared" si="98"/>
        <v>V</v>
      </c>
      <c r="Y405" s="309"/>
      <c r="Z405" s="310">
        <f>(R405+S405+T405)*'1.0-Contractblad'!$L$37</f>
        <v>236.5548785197733</v>
      </c>
      <c r="AA405" s="310">
        <f ca="1">VLOOKUP(E405,'1.2-Jaarprijzen'!$B$51:$Q$88,16,FALSE)*K405</f>
        <v>0</v>
      </c>
      <c r="AC405" s="226">
        <f t="shared" si="99"/>
        <v>3180</v>
      </c>
      <c r="AD405" s="226" t="str">
        <f t="shared" si="100"/>
        <v>3200-200</v>
      </c>
    </row>
    <row r="406" spans="2:30" ht="12.5">
      <c r="B406" s="336"/>
      <c r="C406" s="337"/>
      <c r="D406" s="302">
        <f>VLOOKUP(E406,'1.2-Jaarprijzen'!B:G,6,FALSE)</f>
        <v>1</v>
      </c>
      <c r="E406" s="522" t="s">
        <v>86</v>
      </c>
      <c r="F406" s="302" t="s">
        <v>201</v>
      </c>
      <c r="G406" s="525" t="s">
        <v>456</v>
      </c>
      <c r="H406" s="523" t="s">
        <v>280</v>
      </c>
      <c r="I406" s="303" t="str">
        <f t="shared" si="101"/>
        <v>entree, gang, hal, repro, kopieer, was/droogruimte</v>
      </c>
      <c r="J406" s="302" t="s">
        <v>218</v>
      </c>
      <c r="K406" s="304">
        <v>137.80000000000001</v>
      </c>
      <c r="L406" s="304"/>
      <c r="M406" s="305">
        <v>3200</v>
      </c>
      <c r="N406" s="302"/>
      <c r="O406" s="306">
        <f t="shared" si="94"/>
        <v>200</v>
      </c>
      <c r="P406" s="472">
        <v>1</v>
      </c>
      <c r="Q406" s="472">
        <v>1</v>
      </c>
      <c r="R406" s="300">
        <f t="shared" si="95"/>
        <v>51.866243393880815</v>
      </c>
      <c r="S406" s="300">
        <f t="shared" si="96"/>
        <v>15.644437545436878</v>
      </c>
      <c r="T406" s="300">
        <f t="shared" si="97"/>
        <v>0</v>
      </c>
      <c r="U406" s="307">
        <f t="shared" si="91"/>
        <v>0.37638783304703055</v>
      </c>
      <c r="V406" s="307">
        <f t="shared" si="92"/>
        <v>0.11353002572885977</v>
      </c>
      <c r="W406" s="307">
        <f t="shared" si="93"/>
        <v>0</v>
      </c>
      <c r="X406" s="308" t="str">
        <f t="shared" si="98"/>
        <v>V</v>
      </c>
      <c r="Y406" s="309"/>
      <c r="Z406" s="310">
        <f>(R406+S406+T406)*'1.0-Contractblad'!$L$37</f>
        <v>2050.1422805047023</v>
      </c>
      <c r="AA406" s="310">
        <f ca="1">VLOOKUP(E406,'1.2-Jaarprijzen'!$B$51:$Q$88,16,FALSE)*K406</f>
        <v>0</v>
      </c>
      <c r="AC406" s="226">
        <f t="shared" si="99"/>
        <v>27560.000000000004</v>
      </c>
      <c r="AD406" s="226" t="str">
        <f t="shared" si="100"/>
        <v>3200-200</v>
      </c>
    </row>
    <row r="407" spans="2:30" ht="12.5">
      <c r="B407" s="336"/>
      <c r="C407" s="337"/>
      <c r="D407" s="302">
        <f>VLOOKUP(E407,'1.2-Jaarprijzen'!B:G,6,FALSE)</f>
        <v>1</v>
      </c>
      <c r="E407" s="522" t="s">
        <v>86</v>
      </c>
      <c r="F407" s="302" t="s">
        <v>201</v>
      </c>
      <c r="G407" s="525" t="s">
        <v>457</v>
      </c>
      <c r="H407" s="523" t="s">
        <v>280</v>
      </c>
      <c r="I407" s="303" t="str">
        <f t="shared" si="101"/>
        <v>entree, gang, hal, repro, kopieer, was/droogruimte</v>
      </c>
      <c r="J407" s="302" t="s">
        <v>218</v>
      </c>
      <c r="K407" s="304">
        <v>49</v>
      </c>
      <c r="L407" s="304"/>
      <c r="M407" s="305">
        <v>3200</v>
      </c>
      <c r="N407" s="302"/>
      <c r="O407" s="306">
        <f t="shared" si="94"/>
        <v>200</v>
      </c>
      <c r="P407" s="472">
        <v>1</v>
      </c>
      <c r="Q407" s="472">
        <v>1</v>
      </c>
      <c r="R407" s="300">
        <f t="shared" si="95"/>
        <v>18.443003819304497</v>
      </c>
      <c r="S407" s="300">
        <f t="shared" si="96"/>
        <v>5.5629712607141286</v>
      </c>
      <c r="T407" s="300">
        <f t="shared" si="97"/>
        <v>0</v>
      </c>
      <c r="U407" s="307">
        <f t="shared" si="91"/>
        <v>0.37638783304703055</v>
      </c>
      <c r="V407" s="307">
        <f t="shared" si="92"/>
        <v>0.11353002572885977</v>
      </c>
      <c r="W407" s="307">
        <f t="shared" si="93"/>
        <v>0</v>
      </c>
      <c r="X407" s="308" t="str">
        <f t="shared" si="98"/>
        <v>V</v>
      </c>
      <c r="Y407" s="309"/>
      <c r="Z407" s="310">
        <f>(R407+S407+T407)*'1.0-Contractblad'!$L$37</f>
        <v>729.00560046974169</v>
      </c>
      <c r="AA407" s="310">
        <f ca="1">VLOOKUP(E407,'1.2-Jaarprijzen'!$B$51:$Q$88,16,FALSE)*K407</f>
        <v>0</v>
      </c>
      <c r="AC407" s="226">
        <f t="shared" si="99"/>
        <v>9800</v>
      </c>
      <c r="AD407" s="226" t="str">
        <f t="shared" si="100"/>
        <v>3200-200</v>
      </c>
    </row>
    <row r="408" spans="2:30" ht="12.5">
      <c r="B408" s="336"/>
      <c r="C408" s="337"/>
      <c r="D408" s="302">
        <f>VLOOKUP(E408,'1.2-Jaarprijzen'!B:G,6,FALSE)</f>
        <v>1</v>
      </c>
      <c r="E408" s="522" t="s">
        <v>86</v>
      </c>
      <c r="F408" s="302" t="s">
        <v>201</v>
      </c>
      <c r="G408" s="525" t="s">
        <v>232</v>
      </c>
      <c r="H408" s="523" t="s">
        <v>256</v>
      </c>
      <c r="I408" s="303" t="str">
        <f t="shared" si="101"/>
        <v>kleedruimten</v>
      </c>
      <c r="J408" s="302" t="s">
        <v>218</v>
      </c>
      <c r="K408" s="304">
        <v>21.35</v>
      </c>
      <c r="L408" s="304"/>
      <c r="M408" s="305">
        <v>13200</v>
      </c>
      <c r="N408" s="302"/>
      <c r="O408" s="306">
        <f t="shared" si="94"/>
        <v>200</v>
      </c>
      <c r="P408" s="472">
        <v>1</v>
      </c>
      <c r="Q408" s="472">
        <v>1</v>
      </c>
      <c r="R408" s="300">
        <f t="shared" si="95"/>
        <v>25.505185095454326</v>
      </c>
      <c r="S408" s="300">
        <f t="shared" si="96"/>
        <v>3.1881481369317908</v>
      </c>
      <c r="T408" s="300">
        <f t="shared" si="97"/>
        <v>0</v>
      </c>
      <c r="U408" s="307">
        <f t="shared" si="91"/>
        <v>1.1946222527144883</v>
      </c>
      <c r="V408" s="307">
        <f t="shared" si="92"/>
        <v>0.14932778158931104</v>
      </c>
      <c r="W408" s="307">
        <f t="shared" si="93"/>
        <v>0</v>
      </c>
      <c r="X408" s="308" t="str">
        <f t="shared" si="98"/>
        <v>V</v>
      </c>
      <c r="Y408" s="309"/>
      <c r="Z408" s="310">
        <f>(R408+S408+T408)*'1.0-Contractblad'!$L$37</f>
        <v>871.34975991726333</v>
      </c>
      <c r="AA408" s="310">
        <f ca="1">VLOOKUP(E408,'1.2-Jaarprijzen'!$B$51:$Q$88,16,FALSE)*K408</f>
        <v>0</v>
      </c>
      <c r="AC408" s="226">
        <f t="shared" si="99"/>
        <v>4270</v>
      </c>
      <c r="AD408" s="226" t="str">
        <f t="shared" si="100"/>
        <v>13200-200</v>
      </c>
    </row>
    <row r="409" spans="2:30" ht="12.5">
      <c r="B409" s="336"/>
      <c r="C409" s="337"/>
      <c r="D409" s="302">
        <f>VLOOKUP(E409,'1.2-Jaarprijzen'!B:G,6,FALSE)</f>
        <v>1</v>
      </c>
      <c r="E409" s="522" t="s">
        <v>86</v>
      </c>
      <c r="F409" s="302" t="s">
        <v>201</v>
      </c>
      <c r="G409" s="525" t="s">
        <v>233</v>
      </c>
      <c r="H409" s="523" t="s">
        <v>431</v>
      </c>
      <c r="I409" s="303" t="str">
        <f t="shared" si="101"/>
        <v>niet van toepassing</v>
      </c>
      <c r="J409" s="302"/>
      <c r="K409" s="304"/>
      <c r="L409" s="304">
        <v>19.8</v>
      </c>
      <c r="M409" s="305" t="s">
        <v>147</v>
      </c>
      <c r="N409" s="302"/>
      <c r="O409" s="306">
        <f t="shared" si="94"/>
        <v>0</v>
      </c>
      <c r="P409" s="472">
        <v>1</v>
      </c>
      <c r="Q409" s="472">
        <v>1</v>
      </c>
      <c r="R409" s="300">
        <f t="shared" si="95"/>
        <v>0</v>
      </c>
      <c r="S409" s="300">
        <f t="shared" si="96"/>
        <v>0</v>
      </c>
      <c r="T409" s="300">
        <f t="shared" si="97"/>
        <v>0</v>
      </c>
      <c r="U409" s="307">
        <f t="shared" si="91"/>
        <v>0</v>
      </c>
      <c r="V409" s="307">
        <f t="shared" si="92"/>
        <v>0</v>
      </c>
      <c r="W409" s="307">
        <f t="shared" si="93"/>
        <v>0</v>
      </c>
      <c r="X409" s="308">
        <f t="shared" si="98"/>
        <v>0</v>
      </c>
      <c r="Y409" s="309"/>
      <c r="Z409" s="310">
        <f>(R409+S409+T409)*'1.0-Contractblad'!$L$37</f>
        <v>0</v>
      </c>
      <c r="AA409" s="310">
        <f ca="1">VLOOKUP(E409,'1.2-Jaarprijzen'!$B$51:$Q$88,16,FALSE)*K409</f>
        <v>0</v>
      </c>
      <c r="AC409" s="226">
        <f t="shared" si="99"/>
        <v>0</v>
      </c>
      <c r="AD409" s="226" t="str">
        <f t="shared" si="100"/>
        <v>nvt-0</v>
      </c>
    </row>
    <row r="410" spans="2:30" ht="12.5">
      <c r="B410" s="336"/>
      <c r="C410" s="337"/>
      <c r="D410" s="302">
        <f>VLOOKUP(E410,'1.2-Jaarprijzen'!B:G,6,FALSE)</f>
        <v>1</v>
      </c>
      <c r="E410" s="522" t="s">
        <v>86</v>
      </c>
      <c r="F410" s="302" t="s">
        <v>201</v>
      </c>
      <c r="G410" s="525" t="s">
        <v>178</v>
      </c>
      <c r="H410" s="522" t="s">
        <v>363</v>
      </c>
      <c r="I410" s="303" t="str">
        <f t="shared" si="101"/>
        <v>administratieve -, personeels- en vergaderruimte</v>
      </c>
      <c r="J410" s="302" t="s">
        <v>218</v>
      </c>
      <c r="K410" s="304">
        <v>9.25</v>
      </c>
      <c r="L410" s="304"/>
      <c r="M410" s="305">
        <v>1200</v>
      </c>
      <c r="N410" s="302"/>
      <c r="O410" s="306">
        <f t="shared" si="94"/>
        <v>200</v>
      </c>
      <c r="P410" s="472">
        <v>1</v>
      </c>
      <c r="Q410" s="472">
        <v>1</v>
      </c>
      <c r="R410" s="300">
        <f t="shared" si="95"/>
        <v>3.882716049382716</v>
      </c>
      <c r="S410" s="300">
        <f t="shared" si="96"/>
        <v>0.68518518518518512</v>
      </c>
      <c r="T410" s="300">
        <f t="shared" si="97"/>
        <v>0</v>
      </c>
      <c r="U410" s="307">
        <f t="shared" si="91"/>
        <v>0.41975308641975306</v>
      </c>
      <c r="V410" s="307">
        <f t="shared" si="92"/>
        <v>7.407407407407407E-2</v>
      </c>
      <c r="W410" s="307">
        <f t="shared" si="93"/>
        <v>0</v>
      </c>
      <c r="X410" s="308" t="str">
        <f t="shared" si="98"/>
        <v>V</v>
      </c>
      <c r="Y410" s="309"/>
      <c r="Z410" s="310">
        <f>(R410+S410+T410)*'1.0-Contractblad'!$L$37</f>
        <v>138.71653083420861</v>
      </c>
      <c r="AA410" s="310">
        <f ca="1">VLOOKUP(E410,'1.2-Jaarprijzen'!$B$51:$Q$88,16,FALSE)*K410</f>
        <v>0</v>
      </c>
      <c r="AC410" s="226">
        <f t="shared" si="99"/>
        <v>1850</v>
      </c>
      <c r="AD410" s="226" t="str">
        <f t="shared" si="100"/>
        <v>1200-200</v>
      </c>
    </row>
    <row r="411" spans="2:30" ht="12.5">
      <c r="B411" s="336"/>
      <c r="C411" s="337"/>
      <c r="D411" s="302">
        <f>VLOOKUP(E411,'1.2-Jaarprijzen'!B:G,6,FALSE)</f>
        <v>1</v>
      </c>
      <c r="E411" s="522" t="s">
        <v>86</v>
      </c>
      <c r="F411" s="302" t="s">
        <v>201</v>
      </c>
      <c r="G411" s="525" t="s">
        <v>236</v>
      </c>
      <c r="H411" s="523" t="s">
        <v>220</v>
      </c>
      <c r="I411" s="303" t="str">
        <f t="shared" si="101"/>
        <v>sanitaire ruimte (toilet-/doucheruimte)</v>
      </c>
      <c r="J411" s="302" t="s">
        <v>208</v>
      </c>
      <c r="K411" s="304">
        <v>2.1</v>
      </c>
      <c r="L411" s="304"/>
      <c r="M411" s="305">
        <v>4200</v>
      </c>
      <c r="N411" s="302"/>
      <c r="O411" s="306">
        <f t="shared" si="94"/>
        <v>200</v>
      </c>
      <c r="P411" s="472">
        <v>1</v>
      </c>
      <c r="Q411" s="472">
        <v>1</v>
      </c>
      <c r="R411" s="300">
        <f t="shared" si="95"/>
        <v>5.6282516159545954</v>
      </c>
      <c r="S411" s="300">
        <f t="shared" si="96"/>
        <v>0.9932208734037522</v>
      </c>
      <c r="T411" s="300">
        <f t="shared" si="97"/>
        <v>0</v>
      </c>
      <c r="U411" s="307">
        <f t="shared" si="91"/>
        <v>2.6801198171212359</v>
      </c>
      <c r="V411" s="307">
        <f t="shared" si="92"/>
        <v>0.4729623206684534</v>
      </c>
      <c r="W411" s="307">
        <f t="shared" si="93"/>
        <v>0</v>
      </c>
      <c r="X411" s="308" t="str">
        <f t="shared" si="98"/>
        <v>S</v>
      </c>
      <c r="Y411" s="309"/>
      <c r="Z411" s="310">
        <f>(R411+S411+T411)*'1.0-Contractblad'!$L$37</f>
        <v>201.07871111290066</v>
      </c>
      <c r="AA411" s="310">
        <f ca="1">VLOOKUP(E411,'1.2-Jaarprijzen'!$B$51:$Q$88,16,FALSE)*K411</f>
        <v>0</v>
      </c>
      <c r="AC411" s="226">
        <f t="shared" si="99"/>
        <v>420</v>
      </c>
      <c r="AD411" s="226" t="str">
        <f t="shared" si="100"/>
        <v>4200-200</v>
      </c>
    </row>
    <row r="412" spans="2:30" ht="12.5">
      <c r="B412" s="336"/>
      <c r="C412" s="337"/>
      <c r="D412" s="302">
        <f>VLOOKUP(E412,'1.2-Jaarprijzen'!B:G,6,FALSE)</f>
        <v>1</v>
      </c>
      <c r="E412" s="522" t="s">
        <v>86</v>
      </c>
      <c r="F412" s="302" t="s">
        <v>201</v>
      </c>
      <c r="G412" s="525" t="s">
        <v>237</v>
      </c>
      <c r="H412" s="523" t="s">
        <v>266</v>
      </c>
      <c r="I412" s="303" t="str">
        <f t="shared" si="101"/>
        <v>gymzaal (berging)</v>
      </c>
      <c r="J412" s="302" t="s">
        <v>264</v>
      </c>
      <c r="K412" s="304">
        <v>5.35</v>
      </c>
      <c r="L412" s="304"/>
      <c r="M412" s="305">
        <v>14040</v>
      </c>
      <c r="N412" s="302"/>
      <c r="O412" s="306">
        <f t="shared" si="94"/>
        <v>40</v>
      </c>
      <c r="P412" s="472">
        <v>1</v>
      </c>
      <c r="Q412" s="472">
        <v>1</v>
      </c>
      <c r="R412" s="300">
        <f t="shared" si="95"/>
        <v>0.36064350000000006</v>
      </c>
      <c r="S412" s="300">
        <f t="shared" si="96"/>
        <v>0.46511512792972054</v>
      </c>
      <c r="T412" s="300">
        <f t="shared" si="97"/>
        <v>0</v>
      </c>
      <c r="U412" s="307">
        <f t="shared" si="91"/>
        <v>6.7410000000000012E-2</v>
      </c>
      <c r="V412" s="307">
        <f t="shared" si="92"/>
        <v>8.6937407089667393E-2</v>
      </c>
      <c r="W412" s="307">
        <f t="shared" si="93"/>
        <v>0</v>
      </c>
      <c r="X412" s="308" t="str">
        <f t="shared" si="98"/>
        <v>Sp</v>
      </c>
      <c r="Y412" s="309"/>
      <c r="Z412" s="310">
        <f>(R412+S412+T412)*'1.0-Contractblad'!$L$37</f>
        <v>25.076367962159399</v>
      </c>
      <c r="AA412" s="310">
        <f ca="1">VLOOKUP(E412,'1.2-Jaarprijzen'!$B$51:$Q$88,16,FALSE)*K412</f>
        <v>0</v>
      </c>
      <c r="AC412" s="226">
        <f t="shared" si="99"/>
        <v>214</v>
      </c>
      <c r="AD412" s="226" t="str">
        <f t="shared" si="100"/>
        <v>14040-40</v>
      </c>
    </row>
    <row r="413" spans="2:30" ht="12.5">
      <c r="B413" s="336"/>
      <c r="C413" s="337"/>
      <c r="D413" s="302">
        <f>VLOOKUP(E413,'1.2-Jaarprijzen'!B:G,6,FALSE)</f>
        <v>1</v>
      </c>
      <c r="E413" s="522" t="s">
        <v>86</v>
      </c>
      <c r="F413" s="302" t="s">
        <v>201</v>
      </c>
      <c r="G413" s="525" t="s">
        <v>239</v>
      </c>
      <c r="H413" s="523" t="s">
        <v>358</v>
      </c>
      <c r="I413" s="303" t="str">
        <f t="shared" si="101"/>
        <v>niet van toepassing</v>
      </c>
      <c r="J413" s="302"/>
      <c r="K413" s="304"/>
      <c r="L413" s="304">
        <v>5.35</v>
      </c>
      <c r="M413" s="305" t="s">
        <v>147</v>
      </c>
      <c r="N413" s="302"/>
      <c r="O413" s="306">
        <f t="shared" si="94"/>
        <v>0</v>
      </c>
      <c r="P413" s="472">
        <v>1</v>
      </c>
      <c r="Q413" s="472">
        <v>1</v>
      </c>
      <c r="R413" s="300">
        <f t="shared" si="95"/>
        <v>0</v>
      </c>
      <c r="S413" s="300">
        <f t="shared" si="96"/>
        <v>0</v>
      </c>
      <c r="T413" s="300">
        <f t="shared" si="97"/>
        <v>0</v>
      </c>
      <c r="U413" s="307">
        <f t="shared" si="91"/>
        <v>0</v>
      </c>
      <c r="V413" s="307">
        <f t="shared" si="92"/>
        <v>0</v>
      </c>
      <c r="W413" s="307">
        <f t="shared" si="93"/>
        <v>0</v>
      </c>
      <c r="X413" s="308">
        <f t="shared" si="98"/>
        <v>0</v>
      </c>
      <c r="Y413" s="309"/>
      <c r="Z413" s="310">
        <f>(R413+S413+T413)*'1.0-Contractblad'!$L$37</f>
        <v>0</v>
      </c>
      <c r="AA413" s="310">
        <f ca="1">VLOOKUP(E413,'1.2-Jaarprijzen'!$B$51:$Q$88,16,FALSE)*K413</f>
        <v>0</v>
      </c>
      <c r="AC413" s="226">
        <f t="shared" si="99"/>
        <v>0</v>
      </c>
      <c r="AD413" s="226" t="str">
        <f t="shared" si="100"/>
        <v>nvt-0</v>
      </c>
    </row>
    <row r="414" spans="2:30" ht="12.5">
      <c r="B414" s="336"/>
      <c r="C414" s="337"/>
      <c r="D414" s="302">
        <f>VLOOKUP(E414,'1.2-Jaarprijzen'!B:G,6,FALSE)</f>
        <v>1</v>
      </c>
      <c r="E414" s="522" t="s">
        <v>86</v>
      </c>
      <c r="F414" s="302" t="s">
        <v>201</v>
      </c>
      <c r="G414" s="525" t="s">
        <v>241</v>
      </c>
      <c r="H414" s="523" t="s">
        <v>142</v>
      </c>
      <c r="I414" s="303" t="str">
        <f t="shared" si="101"/>
        <v>gymzaal</v>
      </c>
      <c r="J414" s="302" t="s">
        <v>264</v>
      </c>
      <c r="K414" s="304">
        <v>251.8</v>
      </c>
      <c r="L414" s="304"/>
      <c r="M414" s="305">
        <v>14200</v>
      </c>
      <c r="N414" s="302"/>
      <c r="O414" s="306">
        <f t="shared" si="94"/>
        <v>200</v>
      </c>
      <c r="P414" s="472">
        <v>1</v>
      </c>
      <c r="Q414" s="472">
        <v>1</v>
      </c>
      <c r="R414" s="300">
        <f t="shared" si="95"/>
        <v>80.827800000000011</v>
      </c>
      <c r="S414" s="300">
        <f t="shared" si="96"/>
        <v>21.890839105178252</v>
      </c>
      <c r="T414" s="300">
        <f t="shared" si="97"/>
        <v>0</v>
      </c>
      <c r="U414" s="307">
        <f t="shared" ref="U414:U477" si="102">IF($M414=0,0,VLOOKUP($M414,Kengetal,6,FALSE))</f>
        <v>0.32100000000000001</v>
      </c>
      <c r="V414" s="307">
        <f t="shared" ref="V414:V477" si="103">IF($M414=0,0,VLOOKUP($M414,Kengetal,7,FALSE))</f>
        <v>8.6937407089667393E-2</v>
      </c>
      <c r="W414" s="307">
        <f t="shared" ref="W414:W477" si="104">IF($N414=0,0,VLOOKUP($N414,Kengetal,6,FALSE))</f>
        <v>0</v>
      </c>
      <c r="X414" s="308" t="str">
        <f t="shared" si="98"/>
        <v>Sp</v>
      </c>
      <c r="Y414" s="309"/>
      <c r="Z414" s="310">
        <f>(R414+S414+T414)*'1.0-Contractblad'!$L$37</f>
        <v>3119.3260399005239</v>
      </c>
      <c r="AA414" s="310">
        <f ca="1">VLOOKUP(E414,'1.2-Jaarprijzen'!$B$51:$Q$88,16,FALSE)*K414</f>
        <v>0</v>
      </c>
      <c r="AC414" s="226">
        <f t="shared" si="99"/>
        <v>50360</v>
      </c>
      <c r="AD414" s="226" t="str">
        <f t="shared" si="100"/>
        <v>14200-200</v>
      </c>
    </row>
    <row r="415" spans="2:30" ht="12.5">
      <c r="B415" s="336"/>
      <c r="C415" s="337"/>
      <c r="D415" s="302">
        <f>VLOOKUP(E415,'1.2-Jaarprijzen'!B:G,6,FALSE)</f>
        <v>1</v>
      </c>
      <c r="E415" s="522" t="s">
        <v>86</v>
      </c>
      <c r="F415" s="302" t="s">
        <v>201</v>
      </c>
      <c r="G415" s="525" t="s">
        <v>242</v>
      </c>
      <c r="H415" s="523" t="s">
        <v>220</v>
      </c>
      <c r="I415" s="303" t="str">
        <f t="shared" si="101"/>
        <v>sanitaire ruimte (toilet-/doucheruimte)</v>
      </c>
      <c r="J415" s="302" t="s">
        <v>208</v>
      </c>
      <c r="K415" s="304">
        <v>1.2</v>
      </c>
      <c r="L415" s="304"/>
      <c r="M415" s="305">
        <v>4200</v>
      </c>
      <c r="N415" s="302"/>
      <c r="O415" s="306">
        <f t="shared" si="94"/>
        <v>200</v>
      </c>
      <c r="P415" s="472">
        <v>1</v>
      </c>
      <c r="Q415" s="472">
        <v>1</v>
      </c>
      <c r="R415" s="300">
        <f t="shared" si="95"/>
        <v>3.2161437805454831</v>
      </c>
      <c r="S415" s="300">
        <f t="shared" si="96"/>
        <v>0.56755478480214405</v>
      </c>
      <c r="T415" s="300">
        <f t="shared" si="97"/>
        <v>0</v>
      </c>
      <c r="U415" s="307">
        <f t="shared" si="102"/>
        <v>2.6801198171212359</v>
      </c>
      <c r="V415" s="307">
        <f t="shared" si="103"/>
        <v>0.4729623206684534</v>
      </c>
      <c r="W415" s="307">
        <f t="shared" si="104"/>
        <v>0</v>
      </c>
      <c r="X415" s="308" t="str">
        <f t="shared" si="98"/>
        <v>S</v>
      </c>
      <c r="Y415" s="309"/>
      <c r="Z415" s="310">
        <f>(R415+S415+T415)*'1.0-Contractblad'!$L$37</f>
        <v>114.90212063594323</v>
      </c>
      <c r="AA415" s="310">
        <f ca="1">VLOOKUP(E415,'1.2-Jaarprijzen'!$B$51:$Q$88,16,FALSE)*K415</f>
        <v>0</v>
      </c>
      <c r="AC415" s="226">
        <f t="shared" si="99"/>
        <v>240</v>
      </c>
      <c r="AD415" s="226" t="str">
        <f t="shared" si="100"/>
        <v>4200-200</v>
      </c>
    </row>
    <row r="416" spans="2:30" ht="12.5">
      <c r="B416" s="336"/>
      <c r="C416" s="337"/>
      <c r="D416" s="302">
        <f>VLOOKUP(E416,'1.2-Jaarprijzen'!B:G,6,FALSE)</f>
        <v>1</v>
      </c>
      <c r="E416" s="522" t="s">
        <v>86</v>
      </c>
      <c r="F416" s="302" t="s">
        <v>201</v>
      </c>
      <c r="G416" s="525" t="s">
        <v>244</v>
      </c>
      <c r="H416" s="523" t="s">
        <v>258</v>
      </c>
      <c r="I416" s="303" t="str">
        <f t="shared" si="101"/>
        <v>sanitaire ruimte (toilet-/doucheruimte)</v>
      </c>
      <c r="J416" s="302" t="s">
        <v>208</v>
      </c>
      <c r="K416" s="304">
        <v>17.350000000000001</v>
      </c>
      <c r="L416" s="304"/>
      <c r="M416" s="305">
        <v>4200</v>
      </c>
      <c r="N416" s="302"/>
      <c r="O416" s="306">
        <f t="shared" si="94"/>
        <v>200</v>
      </c>
      <c r="P416" s="472">
        <v>1</v>
      </c>
      <c r="Q416" s="472">
        <v>1</v>
      </c>
      <c r="R416" s="300">
        <f t="shared" si="95"/>
        <v>46.50007882705345</v>
      </c>
      <c r="S416" s="300">
        <f t="shared" si="96"/>
        <v>8.2058962635976673</v>
      </c>
      <c r="T416" s="300">
        <f t="shared" si="97"/>
        <v>0</v>
      </c>
      <c r="U416" s="307">
        <f t="shared" si="102"/>
        <v>2.6801198171212359</v>
      </c>
      <c r="V416" s="307">
        <f t="shared" si="103"/>
        <v>0.4729623206684534</v>
      </c>
      <c r="W416" s="307">
        <f t="shared" si="104"/>
        <v>0</v>
      </c>
      <c r="X416" s="308" t="str">
        <f t="shared" si="98"/>
        <v>S</v>
      </c>
      <c r="Y416" s="309"/>
      <c r="Z416" s="310">
        <f>(R416+S416+T416)*'1.0-Contractblad'!$L$37</f>
        <v>1661.293160861346</v>
      </c>
      <c r="AA416" s="310">
        <f ca="1">VLOOKUP(E416,'1.2-Jaarprijzen'!$B$51:$Q$88,16,FALSE)*K416</f>
        <v>0</v>
      </c>
      <c r="AC416" s="226">
        <f t="shared" si="99"/>
        <v>3470.0000000000005</v>
      </c>
      <c r="AD416" s="226" t="str">
        <f t="shared" si="100"/>
        <v>4200-200</v>
      </c>
    </row>
    <row r="417" spans="2:30" ht="12.5">
      <c r="B417" s="336"/>
      <c r="C417" s="337"/>
      <c r="D417" s="302">
        <f>VLOOKUP(E417,'1.2-Jaarprijzen'!B:G,6,FALSE)</f>
        <v>1</v>
      </c>
      <c r="E417" s="522" t="s">
        <v>86</v>
      </c>
      <c r="F417" s="302" t="s">
        <v>201</v>
      </c>
      <c r="G417" s="525" t="s">
        <v>246</v>
      </c>
      <c r="H417" s="523" t="s">
        <v>258</v>
      </c>
      <c r="I417" s="303" t="str">
        <f t="shared" si="101"/>
        <v>sanitaire ruimte (toilet-/doucheruimte)</v>
      </c>
      <c r="J417" s="302" t="s">
        <v>208</v>
      </c>
      <c r="K417" s="304">
        <v>17.3</v>
      </c>
      <c r="L417" s="304"/>
      <c r="M417" s="305">
        <v>4200</v>
      </c>
      <c r="N417" s="302"/>
      <c r="O417" s="306">
        <f t="shared" si="94"/>
        <v>200</v>
      </c>
      <c r="P417" s="472">
        <v>1</v>
      </c>
      <c r="Q417" s="472">
        <v>1</v>
      </c>
      <c r="R417" s="300">
        <f t="shared" si="95"/>
        <v>46.366072836197382</v>
      </c>
      <c r="S417" s="300">
        <f t="shared" si="96"/>
        <v>8.1822481475642448</v>
      </c>
      <c r="T417" s="300">
        <f t="shared" si="97"/>
        <v>0</v>
      </c>
      <c r="U417" s="307">
        <f t="shared" si="102"/>
        <v>2.6801198171212359</v>
      </c>
      <c r="V417" s="307">
        <f t="shared" si="103"/>
        <v>0.4729623206684534</v>
      </c>
      <c r="W417" s="307">
        <f t="shared" si="104"/>
        <v>0</v>
      </c>
      <c r="X417" s="308" t="str">
        <f t="shared" si="98"/>
        <v>S</v>
      </c>
      <c r="Y417" s="309"/>
      <c r="Z417" s="310">
        <f>(R417+S417+T417)*'1.0-Contractblad'!$L$37</f>
        <v>1656.505572501515</v>
      </c>
      <c r="AA417" s="310">
        <f ca="1">VLOOKUP(E417,'1.2-Jaarprijzen'!$B$51:$Q$88,16,FALSE)*K417</f>
        <v>0</v>
      </c>
      <c r="AC417" s="226">
        <f t="shared" si="99"/>
        <v>3460</v>
      </c>
      <c r="AD417" s="226" t="str">
        <f t="shared" si="100"/>
        <v>4200-200</v>
      </c>
    </row>
    <row r="418" spans="2:30" ht="12.5">
      <c r="B418" s="336"/>
      <c r="C418" s="337"/>
      <c r="D418" s="302">
        <f>VLOOKUP(E418,'1.2-Jaarprijzen'!B:G,6,FALSE)</f>
        <v>1</v>
      </c>
      <c r="E418" s="522" t="s">
        <v>86</v>
      </c>
      <c r="F418" s="302" t="s">
        <v>201</v>
      </c>
      <c r="G418" s="525" t="s">
        <v>248</v>
      </c>
      <c r="H418" s="523" t="s">
        <v>220</v>
      </c>
      <c r="I418" s="303" t="str">
        <f t="shared" si="101"/>
        <v>sanitaire ruimte (toilet-/doucheruimte)</v>
      </c>
      <c r="J418" s="302" t="s">
        <v>208</v>
      </c>
      <c r="K418" s="304">
        <v>1.2</v>
      </c>
      <c r="L418" s="304"/>
      <c r="M418" s="305">
        <v>4200</v>
      </c>
      <c r="N418" s="302"/>
      <c r="O418" s="306">
        <f t="shared" si="94"/>
        <v>200</v>
      </c>
      <c r="P418" s="472">
        <v>1</v>
      </c>
      <c r="Q418" s="472">
        <v>1</v>
      </c>
      <c r="R418" s="300">
        <f t="shared" si="95"/>
        <v>3.2161437805454831</v>
      </c>
      <c r="S418" s="300">
        <f t="shared" si="96"/>
        <v>0.56755478480214405</v>
      </c>
      <c r="T418" s="300">
        <f t="shared" si="97"/>
        <v>0</v>
      </c>
      <c r="U418" s="307">
        <f t="shared" si="102"/>
        <v>2.6801198171212359</v>
      </c>
      <c r="V418" s="307">
        <f t="shared" si="103"/>
        <v>0.4729623206684534</v>
      </c>
      <c r="W418" s="307">
        <f t="shared" si="104"/>
        <v>0</v>
      </c>
      <c r="X418" s="308" t="str">
        <f t="shared" si="98"/>
        <v>S</v>
      </c>
      <c r="Y418" s="309"/>
      <c r="Z418" s="310">
        <f>(R418+S418+T418)*'1.0-Contractblad'!$L$37</f>
        <v>114.90212063594323</v>
      </c>
      <c r="AA418" s="310">
        <f ca="1">VLOOKUP(E418,'1.2-Jaarprijzen'!$B$51:$Q$88,16,FALSE)*K418</f>
        <v>0</v>
      </c>
      <c r="AC418" s="226">
        <f t="shared" si="99"/>
        <v>240</v>
      </c>
      <c r="AD418" s="226" t="str">
        <f t="shared" si="100"/>
        <v>4200-200</v>
      </c>
    </row>
    <row r="419" spans="2:30" ht="12.5">
      <c r="B419" s="336"/>
      <c r="C419" s="337"/>
      <c r="D419" s="302">
        <f>VLOOKUP(E419,'1.2-Jaarprijzen'!B:G,6,FALSE)</f>
        <v>1</v>
      </c>
      <c r="E419" s="522" t="s">
        <v>86</v>
      </c>
      <c r="F419" s="302" t="s">
        <v>201</v>
      </c>
      <c r="G419" s="525" t="s">
        <v>250</v>
      </c>
      <c r="H419" s="523" t="s">
        <v>256</v>
      </c>
      <c r="I419" s="303" t="str">
        <f t="shared" si="101"/>
        <v>kleedruimten</v>
      </c>
      <c r="J419" s="302" t="s">
        <v>208</v>
      </c>
      <c r="K419" s="304">
        <v>22.2</v>
      </c>
      <c r="L419" s="304"/>
      <c r="M419" s="305">
        <v>13200</v>
      </c>
      <c r="N419" s="302"/>
      <c r="O419" s="306">
        <f t="shared" si="94"/>
        <v>200</v>
      </c>
      <c r="P419" s="472">
        <v>1</v>
      </c>
      <c r="Q419" s="472">
        <v>1</v>
      </c>
      <c r="R419" s="300">
        <f t="shared" si="95"/>
        <v>26.520614010261639</v>
      </c>
      <c r="S419" s="300">
        <f t="shared" si="96"/>
        <v>3.3150767512827048</v>
      </c>
      <c r="T419" s="300">
        <f t="shared" si="97"/>
        <v>0</v>
      </c>
      <c r="U419" s="307">
        <f t="shared" si="102"/>
        <v>1.1946222527144883</v>
      </c>
      <c r="V419" s="307">
        <f t="shared" si="103"/>
        <v>0.14932778158931104</v>
      </c>
      <c r="W419" s="307">
        <f t="shared" si="104"/>
        <v>0</v>
      </c>
      <c r="X419" s="308" t="str">
        <f t="shared" si="98"/>
        <v>V</v>
      </c>
      <c r="Y419" s="309"/>
      <c r="Z419" s="310">
        <f>(R419+S419+T419)*'1.0-Contractblad'!$L$37</f>
        <v>906.04049977345403</v>
      </c>
      <c r="AA419" s="310">
        <f ca="1">VLOOKUP(E419,'1.2-Jaarprijzen'!$B$51:$Q$88,16,FALSE)*K419</f>
        <v>0</v>
      </c>
      <c r="AC419" s="226">
        <f t="shared" si="99"/>
        <v>4440</v>
      </c>
      <c r="AD419" s="226" t="str">
        <f t="shared" si="100"/>
        <v>13200-200</v>
      </c>
    </row>
    <row r="420" spans="2:30" ht="12.5">
      <c r="B420" s="336"/>
      <c r="C420" s="337"/>
      <c r="D420" s="302">
        <f>VLOOKUP(E420,'1.2-Jaarprijzen'!B:G,6,FALSE)</f>
        <v>1</v>
      </c>
      <c r="E420" s="522" t="s">
        <v>86</v>
      </c>
      <c r="F420" s="302" t="s">
        <v>272</v>
      </c>
      <c r="G420" s="525" t="s">
        <v>273</v>
      </c>
      <c r="H420" s="523" t="s">
        <v>135</v>
      </c>
      <c r="I420" s="303" t="str">
        <f t="shared" si="101"/>
        <v>trappenhuis</v>
      </c>
      <c r="J420" s="302" t="s">
        <v>435</v>
      </c>
      <c r="K420" s="304">
        <v>2.85</v>
      </c>
      <c r="L420" s="304"/>
      <c r="M420" s="305">
        <v>9200</v>
      </c>
      <c r="N420" s="302"/>
      <c r="O420" s="306">
        <f t="shared" si="94"/>
        <v>200</v>
      </c>
      <c r="P420" s="472">
        <v>1</v>
      </c>
      <c r="Q420" s="472">
        <v>1</v>
      </c>
      <c r="R420" s="300">
        <f t="shared" si="95"/>
        <v>2.0113224828450695</v>
      </c>
      <c r="S420" s="300">
        <f t="shared" si="96"/>
        <v>0.12534328516280868</v>
      </c>
      <c r="T420" s="300">
        <f t="shared" si="97"/>
        <v>0</v>
      </c>
      <c r="U420" s="307">
        <f t="shared" si="102"/>
        <v>0.70572718696318226</v>
      </c>
      <c r="V420" s="307">
        <f t="shared" si="103"/>
        <v>4.3980100057125854E-2</v>
      </c>
      <c r="W420" s="307">
        <f t="shared" si="104"/>
        <v>0</v>
      </c>
      <c r="X420" s="308" t="str">
        <f t="shared" si="98"/>
        <v>V</v>
      </c>
      <c r="Y420" s="309"/>
      <c r="Z420" s="310">
        <f>(R420+S420+T420)*'1.0-Contractblad'!$L$37</f>
        <v>64.885567281381881</v>
      </c>
      <c r="AA420" s="310">
        <f ca="1">VLOOKUP(E420,'1.2-Jaarprijzen'!$B$51:$Q$88,16,FALSE)*K420</f>
        <v>0</v>
      </c>
      <c r="AC420" s="226">
        <f t="shared" si="99"/>
        <v>570</v>
      </c>
      <c r="AD420" s="226" t="str">
        <f t="shared" si="100"/>
        <v>9200-200</v>
      </c>
    </row>
    <row r="421" spans="2:30" ht="12.5">
      <c r="B421" s="336"/>
      <c r="C421" s="337"/>
      <c r="D421" s="302">
        <f>VLOOKUP(E421,'1.2-Jaarprijzen'!B:G,6,FALSE)</f>
        <v>1</v>
      </c>
      <c r="E421" s="522" t="s">
        <v>86</v>
      </c>
      <c r="F421" s="302" t="s">
        <v>272</v>
      </c>
      <c r="G421" s="525" t="s">
        <v>274</v>
      </c>
      <c r="H421" s="523" t="s">
        <v>280</v>
      </c>
      <c r="I421" s="303" t="str">
        <f t="shared" si="101"/>
        <v>entree, gang, hal, repro, kopieer, was/droogruimte</v>
      </c>
      <c r="J421" s="302" t="s">
        <v>218</v>
      </c>
      <c r="K421" s="304">
        <v>9.4</v>
      </c>
      <c r="L421" s="304"/>
      <c r="M421" s="305">
        <v>3200</v>
      </c>
      <c r="N421" s="302"/>
      <c r="O421" s="306">
        <f t="shared" si="94"/>
        <v>200</v>
      </c>
      <c r="P421" s="472">
        <v>1</v>
      </c>
      <c r="Q421" s="472">
        <v>1</v>
      </c>
      <c r="R421" s="300">
        <f t="shared" si="95"/>
        <v>3.5380456306420873</v>
      </c>
      <c r="S421" s="300">
        <f t="shared" si="96"/>
        <v>1.067182241851282</v>
      </c>
      <c r="T421" s="300">
        <f t="shared" si="97"/>
        <v>0</v>
      </c>
      <c r="U421" s="307">
        <f t="shared" si="102"/>
        <v>0.37638783304703055</v>
      </c>
      <c r="V421" s="307">
        <f t="shared" si="103"/>
        <v>0.11353002572885977</v>
      </c>
      <c r="W421" s="307">
        <f t="shared" si="104"/>
        <v>0</v>
      </c>
      <c r="X421" s="308" t="str">
        <f t="shared" si="98"/>
        <v>V</v>
      </c>
      <c r="Y421" s="309"/>
      <c r="Z421" s="310">
        <f>(R421+S421+T421)*'1.0-Contractblad'!$L$37</f>
        <v>139.85005396766473</v>
      </c>
      <c r="AA421" s="310">
        <f ca="1">VLOOKUP(E421,'1.2-Jaarprijzen'!$B$51:$Q$88,16,FALSE)*K421</f>
        <v>0</v>
      </c>
      <c r="AC421" s="226">
        <f t="shared" si="99"/>
        <v>1880</v>
      </c>
      <c r="AD421" s="226" t="str">
        <f t="shared" si="100"/>
        <v>3200-200</v>
      </c>
    </row>
    <row r="422" spans="2:30" ht="12.5">
      <c r="B422" s="336"/>
      <c r="C422" s="337"/>
      <c r="D422" s="302">
        <f>VLOOKUP(E422,'1.2-Jaarprijzen'!B:G,6,FALSE)</f>
        <v>1</v>
      </c>
      <c r="E422" s="522" t="s">
        <v>86</v>
      </c>
      <c r="F422" s="302" t="s">
        <v>272</v>
      </c>
      <c r="G422" s="525" t="s">
        <v>276</v>
      </c>
      <c r="H422" s="523" t="s">
        <v>522</v>
      </c>
      <c r="I422" s="303" t="str">
        <f t="shared" si="101"/>
        <v>entree, gang, hal, repro, kopieer, was/droogruimte</v>
      </c>
      <c r="J422" s="302" t="s">
        <v>218</v>
      </c>
      <c r="K422" s="304">
        <v>49.65</v>
      </c>
      <c r="L422" s="304"/>
      <c r="M422" s="305">
        <v>3200</v>
      </c>
      <c r="N422" s="302"/>
      <c r="O422" s="306">
        <f t="shared" si="94"/>
        <v>200</v>
      </c>
      <c r="P422" s="472">
        <v>1</v>
      </c>
      <c r="Q422" s="472">
        <v>1</v>
      </c>
      <c r="R422" s="300">
        <f t="shared" si="95"/>
        <v>18.687655910785065</v>
      </c>
      <c r="S422" s="300">
        <f t="shared" si="96"/>
        <v>5.6367657774378879</v>
      </c>
      <c r="T422" s="300">
        <f t="shared" si="97"/>
        <v>0</v>
      </c>
      <c r="U422" s="307">
        <f t="shared" si="102"/>
        <v>0.37638783304703055</v>
      </c>
      <c r="V422" s="307">
        <f t="shared" si="103"/>
        <v>0.11353002572885977</v>
      </c>
      <c r="W422" s="307">
        <f t="shared" si="104"/>
        <v>0</v>
      </c>
      <c r="X422" s="308" t="str">
        <f t="shared" si="98"/>
        <v>V</v>
      </c>
      <c r="Y422" s="309"/>
      <c r="Z422" s="310">
        <f>(R422+S422+T422)*'1.0-Contractblad'!$L$37</f>
        <v>738.67608292495242</v>
      </c>
      <c r="AA422" s="310">
        <f ca="1">VLOOKUP(E422,'1.2-Jaarprijzen'!$B$51:$Q$88,16,FALSE)*K422</f>
        <v>0</v>
      </c>
      <c r="AC422" s="226">
        <f t="shared" si="99"/>
        <v>9930</v>
      </c>
      <c r="AD422" s="226" t="str">
        <f t="shared" si="100"/>
        <v>3200-200</v>
      </c>
    </row>
    <row r="423" spans="2:30" ht="12.5">
      <c r="B423" s="336"/>
      <c r="C423" s="337"/>
      <c r="D423" s="302">
        <f>VLOOKUP(E423,'1.2-Jaarprijzen'!B:G,6,FALSE)</f>
        <v>1</v>
      </c>
      <c r="E423" s="522" t="s">
        <v>86</v>
      </c>
      <c r="F423" s="302" t="s">
        <v>272</v>
      </c>
      <c r="G423" s="525" t="s">
        <v>278</v>
      </c>
      <c r="H423" s="523" t="s">
        <v>220</v>
      </c>
      <c r="I423" s="303" t="str">
        <f t="shared" si="101"/>
        <v>sanitaire ruimte (toilet-/doucheruimte)</v>
      </c>
      <c r="J423" s="302" t="s">
        <v>229</v>
      </c>
      <c r="K423" s="304">
        <v>4.8499999999999996</v>
      </c>
      <c r="L423" s="304"/>
      <c r="M423" s="305">
        <v>4200</v>
      </c>
      <c r="N423" s="302"/>
      <c r="O423" s="306">
        <f t="shared" ref="O423:O481" si="105">VLOOKUP(M423,Kengetal,3,FALSE)+VLOOKUP(N423,Kengetal,3,FALSE)</f>
        <v>200</v>
      </c>
      <c r="P423" s="472">
        <v>1</v>
      </c>
      <c r="Q423" s="472">
        <v>1</v>
      </c>
      <c r="R423" s="300">
        <f t="shared" ref="R423:R481" si="106">U423*K423*P423</f>
        <v>12.998581113037993</v>
      </c>
      <c r="S423" s="300">
        <f t="shared" ref="S423:S481" si="107">V423*K423*Q423</f>
        <v>2.2938672552419987</v>
      </c>
      <c r="T423" s="300">
        <f t="shared" ref="T423:T481" si="108">W423*K423*P423</f>
        <v>0</v>
      </c>
      <c r="U423" s="307">
        <f t="shared" si="102"/>
        <v>2.6801198171212359</v>
      </c>
      <c r="V423" s="307">
        <f t="shared" si="103"/>
        <v>0.4729623206684534</v>
      </c>
      <c r="W423" s="307">
        <f t="shared" si="104"/>
        <v>0</v>
      </c>
      <c r="X423" s="308" t="str">
        <f t="shared" ref="X423:X481" si="109">IF(M423="","",VLOOKUP(M423,Kengetal,13,FALSE))</f>
        <v>S</v>
      </c>
      <c r="Y423" s="309"/>
      <c r="Z423" s="310">
        <f>(R423+S423+T423)*'1.0-Contractblad'!$L$37</f>
        <v>464.39607090360386</v>
      </c>
      <c r="AA423" s="310">
        <f ca="1">VLOOKUP(E423,'1.2-Jaarprijzen'!$B$51:$Q$88,16,FALSE)*K423</f>
        <v>0</v>
      </c>
      <c r="AC423" s="226">
        <f t="shared" si="99"/>
        <v>969.99999999999989</v>
      </c>
      <c r="AD423" s="226" t="str">
        <f t="shared" si="100"/>
        <v>4200-200</v>
      </c>
    </row>
    <row r="424" spans="2:30" ht="12.5">
      <c r="B424" s="336"/>
      <c r="C424" s="337"/>
      <c r="D424" s="302">
        <f>VLOOKUP(E424,'1.2-Jaarprijzen'!B:G,6,FALSE)</f>
        <v>1</v>
      </c>
      <c r="E424" s="522" t="s">
        <v>86</v>
      </c>
      <c r="F424" s="302" t="s">
        <v>272</v>
      </c>
      <c r="G424" s="525" t="s">
        <v>279</v>
      </c>
      <c r="H424" s="523" t="s">
        <v>220</v>
      </c>
      <c r="I424" s="303" t="str">
        <f t="shared" si="101"/>
        <v>sanitaire ruimte (toilet-/doucheruimte)</v>
      </c>
      <c r="J424" s="302" t="s">
        <v>229</v>
      </c>
      <c r="K424" s="304">
        <v>3.5</v>
      </c>
      <c r="L424" s="304"/>
      <c r="M424" s="305">
        <v>4200</v>
      </c>
      <c r="N424" s="302"/>
      <c r="O424" s="306">
        <f t="shared" si="105"/>
        <v>200</v>
      </c>
      <c r="P424" s="472">
        <v>1</v>
      </c>
      <c r="Q424" s="472">
        <v>1</v>
      </c>
      <c r="R424" s="300">
        <f t="shared" si="106"/>
        <v>9.3804193599243249</v>
      </c>
      <c r="S424" s="300">
        <f t="shared" si="107"/>
        <v>1.6553681223395869</v>
      </c>
      <c r="T424" s="300">
        <f t="shared" si="108"/>
        <v>0</v>
      </c>
      <c r="U424" s="307">
        <f t="shared" si="102"/>
        <v>2.6801198171212359</v>
      </c>
      <c r="V424" s="307">
        <f t="shared" si="103"/>
        <v>0.4729623206684534</v>
      </c>
      <c r="W424" s="307">
        <f t="shared" si="104"/>
        <v>0</v>
      </c>
      <c r="X424" s="308" t="str">
        <f t="shared" si="109"/>
        <v>S</v>
      </c>
      <c r="Y424" s="309"/>
      <c r="Z424" s="310">
        <f>(R424+S424+T424)*'1.0-Contractblad'!$L$37</f>
        <v>335.13118518816771</v>
      </c>
      <c r="AA424" s="310">
        <f ca="1">VLOOKUP(E424,'1.2-Jaarprijzen'!$B$51:$Q$88,16,FALSE)*K424</f>
        <v>0</v>
      </c>
      <c r="AC424" s="226">
        <f t="shared" si="99"/>
        <v>700</v>
      </c>
      <c r="AD424" s="226" t="str">
        <f t="shared" si="100"/>
        <v>4200-200</v>
      </c>
    </row>
    <row r="425" spans="2:30" ht="12.5">
      <c r="B425" s="336"/>
      <c r="C425" s="337"/>
      <c r="D425" s="302">
        <f>VLOOKUP(E425,'1.2-Jaarprijzen'!B:G,6,FALSE)</f>
        <v>1</v>
      </c>
      <c r="E425" s="522" t="s">
        <v>86</v>
      </c>
      <c r="F425" s="302" t="s">
        <v>272</v>
      </c>
      <c r="G425" s="525" t="s">
        <v>281</v>
      </c>
      <c r="H425" s="523" t="s">
        <v>522</v>
      </c>
      <c r="I425" s="303" t="str">
        <f t="shared" si="101"/>
        <v>entree, gang, hal, repro, kopieer, was/droogruimte</v>
      </c>
      <c r="J425" s="302" t="s">
        <v>218</v>
      </c>
      <c r="K425" s="304">
        <v>34.6</v>
      </c>
      <c r="L425" s="304"/>
      <c r="M425" s="305">
        <v>3200</v>
      </c>
      <c r="N425" s="302"/>
      <c r="O425" s="306">
        <f t="shared" si="105"/>
        <v>200</v>
      </c>
      <c r="P425" s="472">
        <v>1</v>
      </c>
      <c r="Q425" s="472">
        <v>1</v>
      </c>
      <c r="R425" s="300">
        <f t="shared" si="106"/>
        <v>13.023019023427258</v>
      </c>
      <c r="S425" s="300">
        <f t="shared" si="107"/>
        <v>3.9281388902185483</v>
      </c>
      <c r="T425" s="300">
        <f t="shared" si="108"/>
        <v>0</v>
      </c>
      <c r="U425" s="307">
        <f t="shared" si="102"/>
        <v>0.37638783304703055</v>
      </c>
      <c r="V425" s="307">
        <f t="shared" si="103"/>
        <v>0.11353002572885977</v>
      </c>
      <c r="W425" s="307">
        <f t="shared" si="104"/>
        <v>0</v>
      </c>
      <c r="X425" s="308" t="str">
        <f t="shared" si="109"/>
        <v>V</v>
      </c>
      <c r="Y425" s="309"/>
      <c r="Z425" s="310">
        <f>(R425+S425+T425)*'1.0-Contractblad'!$L$37</f>
        <v>514.76721992353202</v>
      </c>
      <c r="AA425" s="310">
        <f ca="1">VLOOKUP(E425,'1.2-Jaarprijzen'!$B$51:$Q$88,16,FALSE)*K425</f>
        <v>0</v>
      </c>
      <c r="AC425" s="226">
        <f t="shared" si="99"/>
        <v>6920</v>
      </c>
      <c r="AD425" s="226" t="str">
        <f t="shared" si="100"/>
        <v>3200-200</v>
      </c>
    </row>
    <row r="426" spans="2:30" ht="12.5">
      <c r="B426" s="336"/>
      <c r="C426" s="337"/>
      <c r="D426" s="302">
        <f>VLOOKUP(E426,'1.2-Jaarprijzen'!B:G,6,FALSE)</f>
        <v>1</v>
      </c>
      <c r="E426" s="522" t="s">
        <v>88</v>
      </c>
      <c r="F426" s="302" t="s">
        <v>523</v>
      </c>
      <c r="G426" s="525" t="s">
        <v>524</v>
      </c>
      <c r="H426" s="523" t="s">
        <v>135</v>
      </c>
      <c r="I426" s="303" t="str">
        <f t="shared" si="101"/>
        <v>trappenhuis</v>
      </c>
      <c r="J426" s="302" t="s">
        <v>208</v>
      </c>
      <c r="K426" s="304">
        <v>6.67</v>
      </c>
      <c r="L426" s="304"/>
      <c r="M426" s="305">
        <v>9200</v>
      </c>
      <c r="N426" s="302"/>
      <c r="O426" s="306">
        <f t="shared" si="105"/>
        <v>200</v>
      </c>
      <c r="P426" s="472">
        <v>1</v>
      </c>
      <c r="Q426" s="472">
        <v>1</v>
      </c>
      <c r="R426" s="300">
        <f t="shared" si="106"/>
        <v>4.7072003370444255</v>
      </c>
      <c r="S426" s="300">
        <f t="shared" si="107"/>
        <v>0.29334726738102945</v>
      </c>
      <c r="T426" s="300">
        <f t="shared" si="108"/>
        <v>0</v>
      </c>
      <c r="U426" s="307">
        <f t="shared" si="102"/>
        <v>0.70572718696318226</v>
      </c>
      <c r="V426" s="307">
        <f t="shared" si="103"/>
        <v>4.3980100057125854E-2</v>
      </c>
      <c r="W426" s="307">
        <f t="shared" si="104"/>
        <v>0</v>
      </c>
      <c r="X426" s="308" t="str">
        <f t="shared" si="109"/>
        <v>V</v>
      </c>
      <c r="Y426" s="309"/>
      <c r="Z426" s="310">
        <f>(R426+S426+T426)*'1.0-Contractblad'!$L$37</f>
        <v>151.85499430414632</v>
      </c>
      <c r="AA426" s="310">
        <f ca="1">VLOOKUP(E426,'1.2-Jaarprijzen'!$B$51:$Q$88,16,FALSE)*K426</f>
        <v>0</v>
      </c>
      <c r="AC426" s="226">
        <f t="shared" ref="AC426:AC481" si="110">K426*O426</f>
        <v>1334</v>
      </c>
      <c r="AD426" s="226" t="str">
        <f t="shared" ref="AD426:AD481" si="111">CONCATENATE(M426,"-",O426)</f>
        <v>9200-200</v>
      </c>
    </row>
    <row r="427" spans="2:30" ht="12.5">
      <c r="B427" s="336"/>
      <c r="C427" s="337"/>
      <c r="D427" s="302">
        <f>VLOOKUP(E427,'1.2-Jaarprijzen'!B:G,6,FALSE)</f>
        <v>1</v>
      </c>
      <c r="E427" s="522" t="s">
        <v>88</v>
      </c>
      <c r="F427" s="302" t="s">
        <v>523</v>
      </c>
      <c r="G427" s="525" t="s">
        <v>525</v>
      </c>
      <c r="H427" s="523" t="s">
        <v>526</v>
      </c>
      <c r="I427" s="303" t="str">
        <f t="shared" si="101"/>
        <v>niet van toepassing</v>
      </c>
      <c r="J427" s="302" t="s">
        <v>208</v>
      </c>
      <c r="K427" s="304"/>
      <c r="L427" s="304">
        <v>32.9</v>
      </c>
      <c r="M427" s="305" t="s">
        <v>147</v>
      </c>
      <c r="N427" s="302"/>
      <c r="O427" s="306">
        <f t="shared" si="105"/>
        <v>0</v>
      </c>
      <c r="P427" s="472">
        <v>1</v>
      </c>
      <c r="Q427" s="472">
        <v>1</v>
      </c>
      <c r="R427" s="300">
        <f t="shared" si="106"/>
        <v>0</v>
      </c>
      <c r="S427" s="300">
        <f t="shared" si="107"/>
        <v>0</v>
      </c>
      <c r="T427" s="300">
        <f t="shared" si="108"/>
        <v>0</v>
      </c>
      <c r="U427" s="307">
        <f t="shared" si="102"/>
        <v>0</v>
      </c>
      <c r="V427" s="307">
        <f t="shared" si="103"/>
        <v>0</v>
      </c>
      <c r="W427" s="307">
        <f t="shared" si="104"/>
        <v>0</v>
      </c>
      <c r="X427" s="308">
        <f t="shared" si="109"/>
        <v>0</v>
      </c>
      <c r="Y427" s="309"/>
      <c r="Z427" s="310">
        <f>(R427+S427+T427)*'1.0-Contractblad'!$L$37</f>
        <v>0</v>
      </c>
      <c r="AA427" s="310">
        <f ca="1">VLOOKUP(E427,'1.2-Jaarprijzen'!$B$51:$Q$88,16,FALSE)*K427</f>
        <v>0</v>
      </c>
      <c r="AC427" s="226">
        <f t="shared" si="110"/>
        <v>0</v>
      </c>
      <c r="AD427" s="226" t="str">
        <f t="shared" si="111"/>
        <v>nvt-0</v>
      </c>
    </row>
    <row r="428" spans="2:30" ht="12.5">
      <c r="B428" s="336"/>
      <c r="C428" s="337"/>
      <c r="D428" s="302">
        <f>VLOOKUP(E428,'1.2-Jaarprijzen'!B:G,6,FALSE)</f>
        <v>1</v>
      </c>
      <c r="E428" s="522" t="s">
        <v>88</v>
      </c>
      <c r="F428" s="302" t="s">
        <v>523</v>
      </c>
      <c r="G428" s="525" t="s">
        <v>527</v>
      </c>
      <c r="H428" s="523" t="s">
        <v>526</v>
      </c>
      <c r="I428" s="303" t="str">
        <f t="shared" si="101"/>
        <v>niet van toepassing</v>
      </c>
      <c r="J428" s="302" t="s">
        <v>208</v>
      </c>
      <c r="K428" s="304"/>
      <c r="L428" s="304">
        <v>10.65</v>
      </c>
      <c r="M428" s="305" t="s">
        <v>147</v>
      </c>
      <c r="N428" s="302"/>
      <c r="O428" s="306">
        <f t="shared" si="105"/>
        <v>0</v>
      </c>
      <c r="P428" s="472">
        <v>1</v>
      </c>
      <c r="Q428" s="472">
        <v>1</v>
      </c>
      <c r="R428" s="300">
        <f t="shared" si="106"/>
        <v>0</v>
      </c>
      <c r="S428" s="300">
        <f t="shared" si="107"/>
        <v>0</v>
      </c>
      <c r="T428" s="300">
        <f t="shared" si="108"/>
        <v>0</v>
      </c>
      <c r="U428" s="307">
        <f t="shared" si="102"/>
        <v>0</v>
      </c>
      <c r="V428" s="307">
        <f t="shared" si="103"/>
        <v>0</v>
      </c>
      <c r="W428" s="307">
        <f t="shared" si="104"/>
        <v>0</v>
      </c>
      <c r="X428" s="308">
        <f t="shared" si="109"/>
        <v>0</v>
      </c>
      <c r="Y428" s="309"/>
      <c r="Z428" s="310">
        <f>(R428+S428+T428)*'1.0-Contractblad'!$L$37</f>
        <v>0</v>
      </c>
      <c r="AA428" s="310">
        <f ca="1">VLOOKUP(E428,'1.2-Jaarprijzen'!$B$51:$Q$88,16,FALSE)*K428</f>
        <v>0</v>
      </c>
      <c r="AC428" s="226">
        <f t="shared" si="110"/>
        <v>0</v>
      </c>
      <c r="AD428" s="226" t="str">
        <f t="shared" si="111"/>
        <v>nvt-0</v>
      </c>
    </row>
    <row r="429" spans="2:30" ht="12.5">
      <c r="B429" s="336"/>
      <c r="C429" s="337"/>
      <c r="D429" s="302">
        <f>VLOOKUP(E429,'1.2-Jaarprijzen'!B:G,6,FALSE)</f>
        <v>1</v>
      </c>
      <c r="E429" s="522" t="s">
        <v>88</v>
      </c>
      <c r="F429" s="302" t="s">
        <v>523</v>
      </c>
      <c r="G429" s="525" t="s">
        <v>528</v>
      </c>
      <c r="H429" s="523" t="s">
        <v>529</v>
      </c>
      <c r="I429" s="303" t="str">
        <f t="shared" si="101"/>
        <v>niet van toepassing</v>
      </c>
      <c r="J429" s="302" t="s">
        <v>218</v>
      </c>
      <c r="K429" s="304"/>
      <c r="L429" s="304">
        <v>18.91</v>
      </c>
      <c r="M429" s="305" t="s">
        <v>147</v>
      </c>
      <c r="N429" s="302"/>
      <c r="O429" s="306">
        <f t="shared" si="105"/>
        <v>0</v>
      </c>
      <c r="P429" s="472">
        <v>1</v>
      </c>
      <c r="Q429" s="472">
        <v>1</v>
      </c>
      <c r="R429" s="300">
        <f t="shared" si="106"/>
        <v>0</v>
      </c>
      <c r="S429" s="300">
        <f t="shared" si="107"/>
        <v>0</v>
      </c>
      <c r="T429" s="300">
        <f t="shared" si="108"/>
        <v>0</v>
      </c>
      <c r="U429" s="307">
        <f t="shared" si="102"/>
        <v>0</v>
      </c>
      <c r="V429" s="307">
        <f t="shared" si="103"/>
        <v>0</v>
      </c>
      <c r="W429" s="307">
        <f t="shared" si="104"/>
        <v>0</v>
      </c>
      <c r="X429" s="308">
        <f t="shared" si="109"/>
        <v>0</v>
      </c>
      <c r="Y429" s="309"/>
      <c r="Z429" s="310">
        <f>(R429+S429+T429)*'1.0-Contractblad'!$L$37</f>
        <v>0</v>
      </c>
      <c r="AA429" s="310">
        <f ca="1">VLOOKUP(E429,'1.2-Jaarprijzen'!$B$51:$Q$88,16,FALSE)*K429</f>
        <v>0</v>
      </c>
      <c r="AC429" s="226">
        <f t="shared" si="110"/>
        <v>0</v>
      </c>
      <c r="AD429" s="226" t="str">
        <f t="shared" si="111"/>
        <v>nvt-0</v>
      </c>
    </row>
    <row r="430" spans="2:30" ht="12.5">
      <c r="B430" s="336"/>
      <c r="C430" s="337"/>
      <c r="D430" s="302">
        <f>VLOOKUP(E430,'1.2-Jaarprijzen'!B:G,6,FALSE)</f>
        <v>1</v>
      </c>
      <c r="E430" s="522" t="s">
        <v>88</v>
      </c>
      <c r="F430" s="302" t="s">
        <v>201</v>
      </c>
      <c r="G430" s="525" t="s">
        <v>202</v>
      </c>
      <c r="H430" s="523" t="s">
        <v>317</v>
      </c>
      <c r="I430" s="303" t="str">
        <f t="shared" si="101"/>
        <v>entree, gang, hal, repro, kopieer, was/droogruimte</v>
      </c>
      <c r="J430" s="302" t="s">
        <v>530</v>
      </c>
      <c r="K430" s="304">
        <v>30.3</v>
      </c>
      <c r="L430" s="304"/>
      <c r="M430" s="305">
        <v>3200</v>
      </c>
      <c r="N430" s="302"/>
      <c r="O430" s="306">
        <f t="shared" si="105"/>
        <v>200</v>
      </c>
      <c r="P430" s="472">
        <v>1</v>
      </c>
      <c r="Q430" s="472">
        <v>1</v>
      </c>
      <c r="R430" s="300">
        <f t="shared" si="106"/>
        <v>11.404551341325027</v>
      </c>
      <c r="S430" s="300">
        <f t="shared" si="107"/>
        <v>3.4399597795844512</v>
      </c>
      <c r="T430" s="300">
        <f t="shared" si="108"/>
        <v>0</v>
      </c>
      <c r="U430" s="307">
        <f t="shared" si="102"/>
        <v>0.37638783304703055</v>
      </c>
      <c r="V430" s="307">
        <f t="shared" si="103"/>
        <v>0.11353002572885977</v>
      </c>
      <c r="W430" s="307">
        <f t="shared" si="104"/>
        <v>0</v>
      </c>
      <c r="X430" s="308" t="str">
        <f t="shared" si="109"/>
        <v>V</v>
      </c>
      <c r="Y430" s="309"/>
      <c r="Z430" s="310">
        <f>(R430+S430+T430)*'1.0-Contractblad'!$L$37</f>
        <v>450.79325906598314</v>
      </c>
      <c r="AA430" s="310">
        <f ca="1">VLOOKUP(E430,'1.2-Jaarprijzen'!$B$51:$Q$88,16,FALSE)*K430</f>
        <v>0</v>
      </c>
      <c r="AC430" s="226">
        <f t="shared" si="110"/>
        <v>6060</v>
      </c>
      <c r="AD430" s="226" t="str">
        <f t="shared" si="111"/>
        <v>3200-200</v>
      </c>
    </row>
    <row r="431" spans="2:30" ht="12.5">
      <c r="B431" s="336"/>
      <c r="C431" s="337"/>
      <c r="D431" s="302">
        <f>VLOOKUP(E431,'1.2-Jaarprijzen'!B:G,6,FALSE)</f>
        <v>1</v>
      </c>
      <c r="E431" s="522" t="s">
        <v>88</v>
      </c>
      <c r="F431" s="302" t="s">
        <v>201</v>
      </c>
      <c r="G431" s="525" t="s">
        <v>206</v>
      </c>
      <c r="H431" s="523" t="s">
        <v>135</v>
      </c>
      <c r="I431" s="303" t="str">
        <f t="shared" si="101"/>
        <v>trappenhuis</v>
      </c>
      <c r="J431" s="302" t="s">
        <v>208</v>
      </c>
      <c r="K431" s="304">
        <v>24.33</v>
      </c>
      <c r="L431" s="304"/>
      <c r="M431" s="305">
        <v>9200</v>
      </c>
      <c r="N431" s="302"/>
      <c r="O431" s="306">
        <f t="shared" si="105"/>
        <v>200</v>
      </c>
      <c r="P431" s="472">
        <v>1</v>
      </c>
      <c r="Q431" s="472">
        <v>1</v>
      </c>
      <c r="R431" s="300">
        <f t="shared" si="106"/>
        <v>17.170342458814222</v>
      </c>
      <c r="S431" s="300">
        <f t="shared" si="107"/>
        <v>1.0700358343898719</v>
      </c>
      <c r="T431" s="300">
        <f t="shared" si="108"/>
        <v>0</v>
      </c>
      <c r="U431" s="307">
        <f t="shared" si="102"/>
        <v>0.70572718696318226</v>
      </c>
      <c r="V431" s="307">
        <f t="shared" si="103"/>
        <v>4.3980100057125854E-2</v>
      </c>
      <c r="W431" s="307">
        <f t="shared" si="104"/>
        <v>0</v>
      </c>
      <c r="X431" s="308" t="str">
        <f t="shared" si="109"/>
        <v>V</v>
      </c>
      <c r="Y431" s="309"/>
      <c r="Z431" s="310">
        <f>(R431+S431+T431)*'1.0-Contractblad'!$L$37</f>
        <v>553.91784279158617</v>
      </c>
      <c r="AA431" s="310">
        <f ca="1">VLOOKUP(E431,'1.2-Jaarprijzen'!$B$51:$Q$88,16,FALSE)*K431</f>
        <v>0</v>
      </c>
      <c r="AC431" s="226">
        <f t="shared" si="110"/>
        <v>4866</v>
      </c>
      <c r="AD431" s="226" t="str">
        <f t="shared" si="111"/>
        <v>9200-200</v>
      </c>
    </row>
    <row r="432" spans="2:30" ht="12.5">
      <c r="B432" s="336"/>
      <c r="C432" s="337"/>
      <c r="D432" s="302">
        <f>VLOOKUP(E432,'1.2-Jaarprijzen'!B:G,6,FALSE)</f>
        <v>1</v>
      </c>
      <c r="E432" s="522" t="s">
        <v>88</v>
      </c>
      <c r="F432" s="302" t="s">
        <v>201</v>
      </c>
      <c r="G432" s="525" t="s">
        <v>433</v>
      </c>
      <c r="H432" s="523" t="s">
        <v>531</v>
      </c>
      <c r="I432" s="303" t="str">
        <f t="shared" si="101"/>
        <v>niet van toepassing</v>
      </c>
      <c r="J432" s="302" t="s">
        <v>208</v>
      </c>
      <c r="K432" s="304"/>
      <c r="L432" s="304">
        <v>1.07</v>
      </c>
      <c r="M432" s="305" t="s">
        <v>147</v>
      </c>
      <c r="N432" s="302"/>
      <c r="O432" s="306">
        <f t="shared" si="105"/>
        <v>0</v>
      </c>
      <c r="P432" s="472">
        <v>1</v>
      </c>
      <c r="Q432" s="472">
        <v>1</v>
      </c>
      <c r="R432" s="300">
        <f t="shared" si="106"/>
        <v>0</v>
      </c>
      <c r="S432" s="300">
        <f t="shared" si="107"/>
        <v>0</v>
      </c>
      <c r="T432" s="300">
        <f t="shared" si="108"/>
        <v>0</v>
      </c>
      <c r="U432" s="307">
        <f t="shared" si="102"/>
        <v>0</v>
      </c>
      <c r="V432" s="307">
        <f t="shared" si="103"/>
        <v>0</v>
      </c>
      <c r="W432" s="307">
        <f t="shared" si="104"/>
        <v>0</v>
      </c>
      <c r="X432" s="308">
        <f t="shared" si="109"/>
        <v>0</v>
      </c>
      <c r="Y432" s="309"/>
      <c r="Z432" s="310">
        <f>(R432+S432+T432)*'1.0-Contractblad'!$L$37</f>
        <v>0</v>
      </c>
      <c r="AA432" s="310">
        <f ca="1">VLOOKUP(E432,'1.2-Jaarprijzen'!$B$51:$Q$88,16,FALSE)*K432</f>
        <v>0</v>
      </c>
      <c r="AC432" s="226">
        <f t="shared" si="110"/>
        <v>0</v>
      </c>
      <c r="AD432" s="226" t="str">
        <f t="shared" si="111"/>
        <v>nvt-0</v>
      </c>
    </row>
    <row r="433" spans="2:30" ht="12.5">
      <c r="B433" s="336"/>
      <c r="C433" s="337"/>
      <c r="D433" s="302">
        <f>VLOOKUP(E433,'1.2-Jaarprijzen'!B:G,6,FALSE)</f>
        <v>1</v>
      </c>
      <c r="E433" s="522" t="s">
        <v>88</v>
      </c>
      <c r="F433" s="302" t="s">
        <v>201</v>
      </c>
      <c r="G433" s="525" t="s">
        <v>209</v>
      </c>
      <c r="H433" s="523" t="s">
        <v>531</v>
      </c>
      <c r="I433" s="303" t="str">
        <f t="shared" si="101"/>
        <v>niet van toepassing</v>
      </c>
      <c r="J433" s="302" t="s">
        <v>208</v>
      </c>
      <c r="K433" s="304"/>
      <c r="L433" s="304">
        <v>0.91</v>
      </c>
      <c r="M433" s="305" t="s">
        <v>147</v>
      </c>
      <c r="N433" s="302"/>
      <c r="O433" s="306">
        <f t="shared" si="105"/>
        <v>0</v>
      </c>
      <c r="P433" s="472">
        <v>1</v>
      </c>
      <c r="Q433" s="472">
        <v>1</v>
      </c>
      <c r="R433" s="300">
        <f t="shared" si="106"/>
        <v>0</v>
      </c>
      <c r="S433" s="300">
        <f t="shared" si="107"/>
        <v>0</v>
      </c>
      <c r="T433" s="300">
        <f t="shared" si="108"/>
        <v>0</v>
      </c>
      <c r="U433" s="307">
        <f t="shared" si="102"/>
        <v>0</v>
      </c>
      <c r="V433" s="307">
        <f t="shared" si="103"/>
        <v>0</v>
      </c>
      <c r="W433" s="307">
        <f t="shared" si="104"/>
        <v>0</v>
      </c>
      <c r="X433" s="308">
        <f t="shared" si="109"/>
        <v>0</v>
      </c>
      <c r="Y433" s="309"/>
      <c r="Z433" s="310">
        <f>(R433+S433+T433)*'1.0-Contractblad'!$L$37</f>
        <v>0</v>
      </c>
      <c r="AA433" s="310">
        <f ca="1">VLOOKUP(E433,'1.2-Jaarprijzen'!$B$51:$Q$88,16,FALSE)*K433</f>
        <v>0</v>
      </c>
      <c r="AC433" s="226">
        <f t="shared" si="110"/>
        <v>0</v>
      </c>
      <c r="AD433" s="226" t="str">
        <f t="shared" si="111"/>
        <v>nvt-0</v>
      </c>
    </row>
    <row r="434" spans="2:30" ht="12.5">
      <c r="B434" s="336"/>
      <c r="C434" s="337"/>
      <c r="D434" s="302">
        <f>VLOOKUP(E434,'1.2-Jaarprijzen'!B:G,6,FALSE)</f>
        <v>1</v>
      </c>
      <c r="E434" s="522" t="s">
        <v>88</v>
      </c>
      <c r="F434" s="302" t="s">
        <v>201</v>
      </c>
      <c r="G434" s="525" t="s">
        <v>216</v>
      </c>
      <c r="H434" s="523" t="s">
        <v>256</v>
      </c>
      <c r="I434" s="303" t="str">
        <f t="shared" si="101"/>
        <v>entree, gang, hal, repro, kopieer, was/droogruimte</v>
      </c>
      <c r="J434" s="302" t="s">
        <v>530</v>
      </c>
      <c r="K434" s="304">
        <v>12.79</v>
      </c>
      <c r="L434" s="304"/>
      <c r="M434" s="305">
        <v>3200</v>
      </c>
      <c r="N434" s="302"/>
      <c r="O434" s="306">
        <f t="shared" si="105"/>
        <v>200</v>
      </c>
      <c r="P434" s="472">
        <v>1</v>
      </c>
      <c r="Q434" s="472">
        <v>1</v>
      </c>
      <c r="R434" s="300">
        <f t="shared" si="106"/>
        <v>4.8140003846715205</v>
      </c>
      <c r="S434" s="300">
        <f t="shared" si="107"/>
        <v>1.4520490290721164</v>
      </c>
      <c r="T434" s="300">
        <f t="shared" si="108"/>
        <v>0</v>
      </c>
      <c r="U434" s="307">
        <f t="shared" si="102"/>
        <v>0.37638783304703055</v>
      </c>
      <c r="V434" s="307">
        <f t="shared" si="103"/>
        <v>0.11353002572885977</v>
      </c>
      <c r="W434" s="307">
        <f t="shared" si="104"/>
        <v>0</v>
      </c>
      <c r="X434" s="308" t="str">
        <f t="shared" si="109"/>
        <v>V</v>
      </c>
      <c r="Y434" s="309"/>
      <c r="Z434" s="310">
        <f>(R434+S434+T434)*'1.0-Contractblad'!$L$37</f>
        <v>190.2853393879183</v>
      </c>
      <c r="AA434" s="310">
        <f ca="1">VLOOKUP(E434,'1.2-Jaarprijzen'!$B$51:$Q$88,16,FALSE)*K434</f>
        <v>0</v>
      </c>
      <c r="AC434" s="226">
        <f t="shared" si="110"/>
        <v>2558</v>
      </c>
      <c r="AD434" s="226" t="str">
        <f t="shared" si="111"/>
        <v>3200-200</v>
      </c>
    </row>
    <row r="435" spans="2:30" ht="12.5">
      <c r="B435" s="336"/>
      <c r="C435" s="337"/>
      <c r="D435" s="302">
        <f>VLOOKUP(E435,'1.2-Jaarprijzen'!B:G,6,FALSE)</f>
        <v>1</v>
      </c>
      <c r="E435" s="522" t="s">
        <v>88</v>
      </c>
      <c r="F435" s="302" t="s">
        <v>201</v>
      </c>
      <c r="G435" s="525" t="s">
        <v>219</v>
      </c>
      <c r="H435" s="523" t="s">
        <v>256</v>
      </c>
      <c r="I435" s="303" t="str">
        <f t="shared" si="101"/>
        <v>entree, gang, hal, repro, kopieer, was/droogruimte</v>
      </c>
      <c r="J435" s="302" t="s">
        <v>530</v>
      </c>
      <c r="K435" s="304">
        <v>11.57</v>
      </c>
      <c r="L435" s="304"/>
      <c r="M435" s="305">
        <v>3200</v>
      </c>
      <c r="N435" s="302"/>
      <c r="O435" s="306">
        <f t="shared" si="105"/>
        <v>200</v>
      </c>
      <c r="P435" s="472">
        <v>1</v>
      </c>
      <c r="Q435" s="472">
        <v>1</v>
      </c>
      <c r="R435" s="300">
        <f t="shared" si="106"/>
        <v>4.3548072283541437</v>
      </c>
      <c r="S435" s="300">
        <f t="shared" si="107"/>
        <v>1.3135423976829075</v>
      </c>
      <c r="T435" s="300">
        <f t="shared" si="108"/>
        <v>0</v>
      </c>
      <c r="U435" s="307">
        <f t="shared" si="102"/>
        <v>0.37638783304703055</v>
      </c>
      <c r="V435" s="307">
        <f t="shared" si="103"/>
        <v>0.11353002572885977</v>
      </c>
      <c r="W435" s="307">
        <f t="shared" si="104"/>
        <v>0</v>
      </c>
      <c r="X435" s="308" t="str">
        <f t="shared" si="109"/>
        <v>V</v>
      </c>
      <c r="Y435" s="309"/>
      <c r="Z435" s="310">
        <f>(R435+S435+T435)*'1.0-Contractblad'!$L$37</f>
        <v>172.13458770275329</v>
      </c>
      <c r="AA435" s="310">
        <f ca="1">VLOOKUP(E435,'1.2-Jaarprijzen'!$B$51:$Q$88,16,FALSE)*K435</f>
        <v>0</v>
      </c>
      <c r="AC435" s="226">
        <f t="shared" si="110"/>
        <v>2314</v>
      </c>
      <c r="AD435" s="226" t="str">
        <f t="shared" si="111"/>
        <v>3200-200</v>
      </c>
    </row>
    <row r="436" spans="2:30" ht="12.5">
      <c r="B436" s="336"/>
      <c r="C436" s="337"/>
      <c r="D436" s="302">
        <f>VLOOKUP(E436,'1.2-Jaarprijzen'!B:G,6,FALSE)</f>
        <v>1</v>
      </c>
      <c r="E436" s="522" t="s">
        <v>88</v>
      </c>
      <c r="F436" s="302" t="s">
        <v>201</v>
      </c>
      <c r="G436" s="525" t="s">
        <v>222</v>
      </c>
      <c r="H436" s="523" t="s">
        <v>526</v>
      </c>
      <c r="I436" s="303" t="str">
        <f t="shared" si="101"/>
        <v>niet van toepassing</v>
      </c>
      <c r="J436" s="302" t="s">
        <v>208</v>
      </c>
      <c r="K436" s="304"/>
      <c r="L436" s="304">
        <v>1.01</v>
      </c>
      <c r="M436" s="305" t="s">
        <v>147</v>
      </c>
      <c r="N436" s="302"/>
      <c r="O436" s="306">
        <f t="shared" si="105"/>
        <v>0</v>
      </c>
      <c r="P436" s="472">
        <v>1</v>
      </c>
      <c r="Q436" s="472">
        <v>1</v>
      </c>
      <c r="R436" s="300">
        <f t="shared" si="106"/>
        <v>0</v>
      </c>
      <c r="S436" s="300">
        <f t="shared" si="107"/>
        <v>0</v>
      </c>
      <c r="T436" s="300">
        <f t="shared" si="108"/>
        <v>0</v>
      </c>
      <c r="U436" s="307">
        <f t="shared" si="102"/>
        <v>0</v>
      </c>
      <c r="V436" s="307">
        <f t="shared" si="103"/>
        <v>0</v>
      </c>
      <c r="W436" s="307">
        <f t="shared" si="104"/>
        <v>0</v>
      </c>
      <c r="X436" s="308">
        <f t="shared" si="109"/>
        <v>0</v>
      </c>
      <c r="Y436" s="309"/>
      <c r="Z436" s="310">
        <f>(R436+S436+T436)*'1.0-Contractblad'!$L$37</f>
        <v>0</v>
      </c>
      <c r="AA436" s="310">
        <f ca="1">VLOOKUP(E436,'1.2-Jaarprijzen'!$B$51:$Q$88,16,FALSE)*K436</f>
        <v>0</v>
      </c>
      <c r="AC436" s="226">
        <f t="shared" si="110"/>
        <v>0</v>
      </c>
      <c r="AD436" s="226" t="str">
        <f t="shared" si="111"/>
        <v>nvt-0</v>
      </c>
    </row>
    <row r="437" spans="2:30" ht="12.5">
      <c r="B437" s="336"/>
      <c r="C437" s="337"/>
      <c r="D437" s="302">
        <f>VLOOKUP(E437,'1.2-Jaarprijzen'!B:G,6,FALSE)</f>
        <v>1</v>
      </c>
      <c r="E437" s="522" t="s">
        <v>88</v>
      </c>
      <c r="F437" s="302" t="s">
        <v>201</v>
      </c>
      <c r="G437" s="525" t="s">
        <v>224</v>
      </c>
      <c r="H437" s="523" t="s">
        <v>526</v>
      </c>
      <c r="I437" s="303" t="str">
        <f t="shared" si="101"/>
        <v>niet van toepassing</v>
      </c>
      <c r="J437" s="302" t="s">
        <v>208</v>
      </c>
      <c r="K437" s="304"/>
      <c r="L437" s="304">
        <v>0.89</v>
      </c>
      <c r="M437" s="305" t="s">
        <v>147</v>
      </c>
      <c r="N437" s="302"/>
      <c r="O437" s="306">
        <f t="shared" si="105"/>
        <v>0</v>
      </c>
      <c r="P437" s="472">
        <v>1</v>
      </c>
      <c r="Q437" s="472">
        <v>1</v>
      </c>
      <c r="R437" s="300">
        <f t="shared" si="106"/>
        <v>0</v>
      </c>
      <c r="S437" s="300">
        <f t="shared" si="107"/>
        <v>0</v>
      </c>
      <c r="T437" s="300">
        <f t="shared" si="108"/>
        <v>0</v>
      </c>
      <c r="U437" s="307">
        <f t="shared" si="102"/>
        <v>0</v>
      </c>
      <c r="V437" s="307">
        <f t="shared" si="103"/>
        <v>0</v>
      </c>
      <c r="W437" s="307">
        <f t="shared" si="104"/>
        <v>0</v>
      </c>
      <c r="X437" s="308">
        <f t="shared" si="109"/>
        <v>0</v>
      </c>
      <c r="Y437" s="309"/>
      <c r="Z437" s="310">
        <f>(R437+S437+T437)*'1.0-Contractblad'!$L$37</f>
        <v>0</v>
      </c>
      <c r="AA437" s="310">
        <f ca="1">VLOOKUP(E437,'1.2-Jaarprijzen'!$B$51:$Q$88,16,FALSE)*K437</f>
        <v>0</v>
      </c>
      <c r="AC437" s="226">
        <f t="shared" si="110"/>
        <v>0</v>
      </c>
      <c r="AD437" s="226" t="str">
        <f t="shared" si="111"/>
        <v>nvt-0</v>
      </c>
    </row>
    <row r="438" spans="2:30" ht="12.5">
      <c r="B438" s="336"/>
      <c r="C438" s="337"/>
      <c r="D438" s="302">
        <f>VLOOKUP(E438,'1.2-Jaarprijzen'!B:G,6,FALSE)</f>
        <v>1</v>
      </c>
      <c r="E438" s="522" t="s">
        <v>88</v>
      </c>
      <c r="F438" s="302" t="s">
        <v>201</v>
      </c>
      <c r="G438" s="525" t="s">
        <v>226</v>
      </c>
      <c r="H438" s="523" t="s">
        <v>280</v>
      </c>
      <c r="I438" s="303" t="str">
        <f t="shared" si="101"/>
        <v>entree, gang, hal, repro, kopieer, was/droogruimte</v>
      </c>
      <c r="J438" s="302" t="s">
        <v>208</v>
      </c>
      <c r="K438" s="304">
        <v>17.989999999999998</v>
      </c>
      <c r="L438" s="304"/>
      <c r="M438" s="305">
        <v>3200</v>
      </c>
      <c r="N438" s="302"/>
      <c r="O438" s="306">
        <f t="shared" si="105"/>
        <v>200</v>
      </c>
      <c r="P438" s="472">
        <v>1</v>
      </c>
      <c r="Q438" s="472">
        <v>1</v>
      </c>
      <c r="R438" s="300">
        <f t="shared" si="106"/>
        <v>6.7712171165160786</v>
      </c>
      <c r="S438" s="300">
        <f t="shared" si="107"/>
        <v>2.0424051628621873</v>
      </c>
      <c r="T438" s="300">
        <f t="shared" si="108"/>
        <v>0</v>
      </c>
      <c r="U438" s="307">
        <f t="shared" si="102"/>
        <v>0.37638783304703055</v>
      </c>
      <c r="V438" s="307">
        <f t="shared" si="103"/>
        <v>0.11353002572885977</v>
      </c>
      <c r="W438" s="307">
        <f t="shared" si="104"/>
        <v>0</v>
      </c>
      <c r="X438" s="308" t="str">
        <f t="shared" si="109"/>
        <v>V</v>
      </c>
      <c r="Y438" s="309"/>
      <c r="Z438" s="310">
        <f>(R438+S438+T438)*'1.0-Contractblad'!$L$37</f>
        <v>267.64919902960509</v>
      </c>
      <c r="AA438" s="310">
        <f ca="1">VLOOKUP(E438,'1.2-Jaarprijzen'!$B$51:$Q$88,16,FALSE)*K438</f>
        <v>0</v>
      </c>
      <c r="AC438" s="226">
        <f t="shared" si="110"/>
        <v>3597.9999999999995</v>
      </c>
      <c r="AD438" s="226" t="str">
        <f t="shared" si="111"/>
        <v>3200-200</v>
      </c>
    </row>
    <row r="439" spans="2:30" ht="12.5">
      <c r="B439" s="336"/>
      <c r="C439" s="337"/>
      <c r="D439" s="302">
        <f>VLOOKUP(E439,'1.2-Jaarprijzen'!B:G,6,FALSE)</f>
        <v>1</v>
      </c>
      <c r="E439" s="522" t="s">
        <v>88</v>
      </c>
      <c r="F439" s="302" t="s">
        <v>201</v>
      </c>
      <c r="G439" s="525" t="s">
        <v>227</v>
      </c>
      <c r="H439" s="523" t="s">
        <v>220</v>
      </c>
      <c r="I439" s="303" t="str">
        <f t="shared" si="101"/>
        <v>sanitaire ruimte (toilet-/doucheruimte)</v>
      </c>
      <c r="J439" s="302" t="s">
        <v>208</v>
      </c>
      <c r="K439" s="304">
        <v>1.45</v>
      </c>
      <c r="L439" s="304"/>
      <c r="M439" s="305">
        <v>4200</v>
      </c>
      <c r="N439" s="302"/>
      <c r="O439" s="306">
        <f t="shared" si="105"/>
        <v>200</v>
      </c>
      <c r="P439" s="472">
        <v>1</v>
      </c>
      <c r="Q439" s="472">
        <v>1</v>
      </c>
      <c r="R439" s="300">
        <f t="shared" si="106"/>
        <v>3.8861737348257921</v>
      </c>
      <c r="S439" s="300">
        <f t="shared" si="107"/>
        <v>0.68579536496925741</v>
      </c>
      <c r="T439" s="300">
        <f t="shared" si="108"/>
        <v>0</v>
      </c>
      <c r="U439" s="307">
        <f t="shared" si="102"/>
        <v>2.6801198171212359</v>
      </c>
      <c r="V439" s="307">
        <f t="shared" si="103"/>
        <v>0.4729623206684534</v>
      </c>
      <c r="W439" s="307">
        <f t="shared" si="104"/>
        <v>0</v>
      </c>
      <c r="X439" s="308" t="str">
        <f t="shared" si="109"/>
        <v>S</v>
      </c>
      <c r="Y439" s="309"/>
      <c r="Z439" s="310">
        <f>(R439+S439+T439)*'1.0-Contractblad'!$L$37</f>
        <v>138.84006243509808</v>
      </c>
      <c r="AA439" s="310">
        <f ca="1">VLOOKUP(E439,'1.2-Jaarprijzen'!$B$51:$Q$88,16,FALSE)*K439</f>
        <v>0</v>
      </c>
      <c r="AC439" s="226">
        <f t="shared" si="110"/>
        <v>290</v>
      </c>
      <c r="AD439" s="226" t="str">
        <f t="shared" si="111"/>
        <v>4200-200</v>
      </c>
    </row>
    <row r="440" spans="2:30" ht="12.5">
      <c r="B440" s="336"/>
      <c r="C440" s="337"/>
      <c r="D440" s="302">
        <f>VLOOKUP(E440,'1.2-Jaarprijzen'!B:G,6,FALSE)</f>
        <v>1</v>
      </c>
      <c r="E440" s="522" t="s">
        <v>88</v>
      </c>
      <c r="F440" s="302" t="s">
        <v>201</v>
      </c>
      <c r="G440" s="525" t="s">
        <v>230</v>
      </c>
      <c r="H440" s="523" t="s">
        <v>220</v>
      </c>
      <c r="I440" s="303" t="str">
        <f t="shared" si="101"/>
        <v>sanitaire ruimte (toilet-/doucheruimte)</v>
      </c>
      <c r="J440" s="302" t="s">
        <v>208</v>
      </c>
      <c r="K440" s="304">
        <v>1.2</v>
      </c>
      <c r="L440" s="304"/>
      <c r="M440" s="305">
        <v>4200</v>
      </c>
      <c r="N440" s="302"/>
      <c r="O440" s="306">
        <f t="shared" si="105"/>
        <v>200</v>
      </c>
      <c r="P440" s="472">
        <v>1</v>
      </c>
      <c r="Q440" s="472">
        <v>1</v>
      </c>
      <c r="R440" s="300">
        <f t="shared" si="106"/>
        <v>3.2161437805454831</v>
      </c>
      <c r="S440" s="300">
        <f t="shared" si="107"/>
        <v>0.56755478480214405</v>
      </c>
      <c r="T440" s="300">
        <f t="shared" si="108"/>
        <v>0</v>
      </c>
      <c r="U440" s="307">
        <f t="shared" si="102"/>
        <v>2.6801198171212359</v>
      </c>
      <c r="V440" s="307">
        <f t="shared" si="103"/>
        <v>0.4729623206684534</v>
      </c>
      <c r="W440" s="307">
        <f t="shared" si="104"/>
        <v>0</v>
      </c>
      <c r="X440" s="308" t="str">
        <f t="shared" si="109"/>
        <v>S</v>
      </c>
      <c r="Y440" s="309"/>
      <c r="Z440" s="310">
        <f>(R440+S440+T440)*'1.0-Contractblad'!$L$37</f>
        <v>114.90212063594323</v>
      </c>
      <c r="AA440" s="310">
        <f ca="1">VLOOKUP(E440,'1.2-Jaarprijzen'!$B$51:$Q$88,16,FALSE)*K440</f>
        <v>0</v>
      </c>
      <c r="AC440" s="226">
        <f t="shared" si="110"/>
        <v>240</v>
      </c>
      <c r="AD440" s="226" t="str">
        <f t="shared" si="111"/>
        <v>4200-200</v>
      </c>
    </row>
    <row r="441" spans="2:30" ht="12.5">
      <c r="B441" s="336"/>
      <c r="C441" s="337"/>
      <c r="D441" s="302">
        <f>VLOOKUP(E441,'1.2-Jaarprijzen'!B:G,6,FALSE)</f>
        <v>1</v>
      </c>
      <c r="E441" s="522" t="s">
        <v>88</v>
      </c>
      <c r="F441" s="302" t="s">
        <v>201</v>
      </c>
      <c r="G441" s="525" t="s">
        <v>232</v>
      </c>
      <c r="H441" s="523" t="s">
        <v>258</v>
      </c>
      <c r="I441" s="303" t="str">
        <f t="shared" si="101"/>
        <v>sanitaire ruimte (toilet-/doucheruimte)</v>
      </c>
      <c r="J441" s="302" t="s">
        <v>208</v>
      </c>
      <c r="K441" s="304">
        <v>17.12</v>
      </c>
      <c r="L441" s="304"/>
      <c r="M441" s="305">
        <v>4200</v>
      </c>
      <c r="N441" s="302"/>
      <c r="O441" s="306">
        <f t="shared" si="105"/>
        <v>200</v>
      </c>
      <c r="P441" s="472">
        <v>1</v>
      </c>
      <c r="Q441" s="472">
        <v>1</v>
      </c>
      <c r="R441" s="300">
        <f t="shared" si="106"/>
        <v>45.88365126911556</v>
      </c>
      <c r="S441" s="300">
        <f t="shared" si="107"/>
        <v>8.0971149298439222</v>
      </c>
      <c r="T441" s="300">
        <f t="shared" si="108"/>
        <v>0</v>
      </c>
      <c r="U441" s="307">
        <f t="shared" si="102"/>
        <v>2.6801198171212359</v>
      </c>
      <c r="V441" s="307">
        <f t="shared" si="103"/>
        <v>0.4729623206684534</v>
      </c>
      <c r="W441" s="307">
        <f t="shared" si="104"/>
        <v>0</v>
      </c>
      <c r="X441" s="308" t="str">
        <f t="shared" si="109"/>
        <v>S</v>
      </c>
      <c r="Y441" s="309"/>
      <c r="Z441" s="310">
        <f>(R441+S441+T441)*'1.0-Contractblad'!$L$37</f>
        <v>1639.2702544061235</v>
      </c>
      <c r="AA441" s="310">
        <f ca="1">VLOOKUP(E441,'1.2-Jaarprijzen'!$B$51:$Q$88,16,FALSE)*K441</f>
        <v>0</v>
      </c>
      <c r="AC441" s="226">
        <f t="shared" si="110"/>
        <v>3424</v>
      </c>
      <c r="AD441" s="226" t="str">
        <f t="shared" si="111"/>
        <v>4200-200</v>
      </c>
    </row>
    <row r="442" spans="2:30" ht="12.5">
      <c r="B442" s="336"/>
      <c r="C442" s="337"/>
      <c r="D442" s="302">
        <f>VLOOKUP(E442,'1.2-Jaarprijzen'!B:G,6,FALSE)</f>
        <v>1</v>
      </c>
      <c r="E442" s="522" t="s">
        <v>88</v>
      </c>
      <c r="F442" s="302" t="s">
        <v>201</v>
      </c>
      <c r="G442" s="525" t="s">
        <v>233</v>
      </c>
      <c r="H442" s="523" t="s">
        <v>247</v>
      </c>
      <c r="I442" s="303" t="str">
        <f t="shared" si="101"/>
        <v>niet van toepassing</v>
      </c>
      <c r="J442" s="302" t="s">
        <v>208</v>
      </c>
      <c r="K442" s="304"/>
      <c r="L442" s="304">
        <v>2.87</v>
      </c>
      <c r="M442" s="305" t="s">
        <v>147</v>
      </c>
      <c r="N442" s="302"/>
      <c r="O442" s="306">
        <f t="shared" si="105"/>
        <v>0</v>
      </c>
      <c r="P442" s="472">
        <v>1</v>
      </c>
      <c r="Q442" s="472">
        <v>1</v>
      </c>
      <c r="R442" s="300">
        <f t="shared" si="106"/>
        <v>0</v>
      </c>
      <c r="S442" s="300">
        <f t="shared" si="107"/>
        <v>0</v>
      </c>
      <c r="T442" s="300">
        <f t="shared" si="108"/>
        <v>0</v>
      </c>
      <c r="U442" s="307">
        <f t="shared" si="102"/>
        <v>0</v>
      </c>
      <c r="V442" s="307">
        <f t="shared" si="103"/>
        <v>0</v>
      </c>
      <c r="W442" s="307">
        <f t="shared" si="104"/>
        <v>0</v>
      </c>
      <c r="X442" s="308">
        <f t="shared" si="109"/>
        <v>0</v>
      </c>
      <c r="Y442" s="309"/>
      <c r="Z442" s="310">
        <f>(R442+S442+T442)*'1.0-Contractblad'!$L$37</f>
        <v>0</v>
      </c>
      <c r="AA442" s="310">
        <f ca="1">VLOOKUP(E442,'1.2-Jaarprijzen'!$B$51:$Q$88,16,FALSE)*K442</f>
        <v>0</v>
      </c>
      <c r="AC442" s="226">
        <f t="shared" si="110"/>
        <v>0</v>
      </c>
      <c r="AD442" s="226" t="str">
        <f t="shared" si="111"/>
        <v>nvt-0</v>
      </c>
    </row>
    <row r="443" spans="2:30" ht="12.5">
      <c r="B443" s="336"/>
      <c r="C443" s="337"/>
      <c r="D443" s="302">
        <f>VLOOKUP(E443,'1.2-Jaarprijzen'!B:G,6,FALSE)</f>
        <v>1</v>
      </c>
      <c r="E443" s="522" t="s">
        <v>88</v>
      </c>
      <c r="F443" s="302" t="s">
        <v>201</v>
      </c>
      <c r="G443" s="525" t="s">
        <v>178</v>
      </c>
      <c r="H443" s="523" t="s">
        <v>266</v>
      </c>
      <c r="I443" s="303" t="str">
        <f t="shared" si="101"/>
        <v>gymzaal (berging)</v>
      </c>
      <c r="J443" s="302" t="s">
        <v>264</v>
      </c>
      <c r="K443" s="304">
        <v>25.68</v>
      </c>
      <c r="L443" s="304"/>
      <c r="M443" s="305">
        <v>14040</v>
      </c>
      <c r="N443" s="302"/>
      <c r="O443" s="306">
        <f t="shared" si="105"/>
        <v>40</v>
      </c>
      <c r="P443" s="472">
        <v>1</v>
      </c>
      <c r="Q443" s="472">
        <v>1</v>
      </c>
      <c r="R443" s="300">
        <f t="shared" si="106"/>
        <v>1.7310888000000002</v>
      </c>
      <c r="S443" s="300">
        <f t="shared" si="107"/>
        <v>2.2325526140626586</v>
      </c>
      <c r="T443" s="300">
        <f t="shared" si="108"/>
        <v>0</v>
      </c>
      <c r="U443" s="307">
        <f t="shared" si="102"/>
        <v>6.7410000000000012E-2</v>
      </c>
      <c r="V443" s="307">
        <f t="shared" si="103"/>
        <v>8.6937407089667393E-2</v>
      </c>
      <c r="W443" s="307">
        <f t="shared" si="104"/>
        <v>0</v>
      </c>
      <c r="X443" s="308" t="str">
        <f t="shared" si="109"/>
        <v>Sp</v>
      </c>
      <c r="Y443" s="309"/>
      <c r="Z443" s="310">
        <f>(R443+S443+T443)*'1.0-Contractblad'!$L$37</f>
        <v>120.36656621836511</v>
      </c>
      <c r="AA443" s="310">
        <f ca="1">VLOOKUP(E443,'1.2-Jaarprijzen'!$B$51:$Q$88,16,FALSE)*K443</f>
        <v>0</v>
      </c>
      <c r="AC443" s="226">
        <f t="shared" si="110"/>
        <v>1027.2</v>
      </c>
      <c r="AD443" s="226" t="str">
        <f t="shared" si="111"/>
        <v>14040-40</v>
      </c>
    </row>
    <row r="444" spans="2:30" ht="12.5">
      <c r="B444" s="336"/>
      <c r="C444" s="337"/>
      <c r="D444" s="302">
        <f>VLOOKUP(E444,'1.2-Jaarprijzen'!B:G,6,FALSE)</f>
        <v>1</v>
      </c>
      <c r="E444" s="522" t="s">
        <v>88</v>
      </c>
      <c r="F444" s="302" t="s">
        <v>201</v>
      </c>
      <c r="G444" s="525" t="s">
        <v>236</v>
      </c>
      <c r="H444" s="523" t="s">
        <v>142</v>
      </c>
      <c r="I444" s="303" t="str">
        <f t="shared" si="101"/>
        <v>gymzaal</v>
      </c>
      <c r="J444" s="302" t="s">
        <v>264</v>
      </c>
      <c r="K444" s="304">
        <v>190.18</v>
      </c>
      <c r="L444" s="304"/>
      <c r="M444" s="305">
        <v>14200</v>
      </c>
      <c r="N444" s="302"/>
      <c r="O444" s="306">
        <f t="shared" si="105"/>
        <v>200</v>
      </c>
      <c r="P444" s="472">
        <v>1</v>
      </c>
      <c r="Q444" s="472">
        <v>1</v>
      </c>
      <c r="R444" s="300">
        <f t="shared" si="106"/>
        <v>61.047780000000003</v>
      </c>
      <c r="S444" s="300">
        <f t="shared" si="107"/>
        <v>16.533756080312944</v>
      </c>
      <c r="T444" s="300">
        <f t="shared" si="108"/>
        <v>0</v>
      </c>
      <c r="U444" s="307">
        <f t="shared" si="102"/>
        <v>0.32100000000000001</v>
      </c>
      <c r="V444" s="307">
        <f t="shared" si="103"/>
        <v>8.6937407089667393E-2</v>
      </c>
      <c r="W444" s="307">
        <f t="shared" si="104"/>
        <v>0</v>
      </c>
      <c r="X444" s="308" t="str">
        <f t="shared" si="109"/>
        <v>Sp</v>
      </c>
      <c r="Y444" s="309"/>
      <c r="Z444" s="310">
        <f>(R444+S444+T444)*'1.0-Contractblad'!$L$37</f>
        <v>2355.9707159185132</v>
      </c>
      <c r="AA444" s="310">
        <f ca="1">VLOOKUP(E444,'1.2-Jaarprijzen'!$B$51:$Q$88,16,FALSE)*K444</f>
        <v>0</v>
      </c>
      <c r="AC444" s="226">
        <f t="shared" si="110"/>
        <v>38036</v>
      </c>
      <c r="AD444" s="226" t="str">
        <f t="shared" si="111"/>
        <v>14200-200</v>
      </c>
    </row>
    <row r="445" spans="2:30" ht="12.5">
      <c r="B445" s="336"/>
      <c r="C445" s="337"/>
      <c r="D445" s="302">
        <f>VLOOKUP(E445,'1.2-Jaarprijzen'!B:G,6,FALSE)</f>
        <v>1</v>
      </c>
      <c r="E445" s="522" t="s">
        <v>88</v>
      </c>
      <c r="F445" s="302" t="s">
        <v>201</v>
      </c>
      <c r="G445" s="525" t="s">
        <v>237</v>
      </c>
      <c r="H445" s="523" t="s">
        <v>437</v>
      </c>
      <c r="I445" s="303" t="str">
        <f t="shared" si="101"/>
        <v>leslokaal/leerplein</v>
      </c>
      <c r="J445" s="302" t="s">
        <v>218</v>
      </c>
      <c r="K445" s="304">
        <v>98.03</v>
      </c>
      <c r="L445" s="304"/>
      <c r="M445" s="305">
        <v>7200</v>
      </c>
      <c r="N445" s="302"/>
      <c r="O445" s="306">
        <f t="shared" si="105"/>
        <v>200</v>
      </c>
      <c r="P445" s="472">
        <v>1</v>
      </c>
      <c r="Q445" s="472">
        <v>1</v>
      </c>
      <c r="R445" s="300">
        <f t="shared" si="106"/>
        <v>51.277230769230769</v>
      </c>
      <c r="S445" s="300">
        <f t="shared" si="107"/>
        <v>9.048923076923078</v>
      </c>
      <c r="T445" s="300">
        <f t="shared" si="108"/>
        <v>0</v>
      </c>
      <c r="U445" s="307">
        <f t="shared" si="102"/>
        <v>0.52307692307692311</v>
      </c>
      <c r="V445" s="307">
        <f t="shared" si="103"/>
        <v>9.2307692307692313E-2</v>
      </c>
      <c r="W445" s="307">
        <f t="shared" si="104"/>
        <v>0</v>
      </c>
      <c r="X445" s="308" t="str">
        <f t="shared" si="109"/>
        <v>L</v>
      </c>
      <c r="Y445" s="309"/>
      <c r="Z445" s="310">
        <f>(R445+S445+T445)*'1.0-Contractblad'!$L$37</f>
        <v>1831.9649113212058</v>
      </c>
      <c r="AA445" s="310">
        <f ca="1">VLOOKUP(E445,'1.2-Jaarprijzen'!$B$51:$Q$88,16,FALSE)*K445</f>
        <v>0</v>
      </c>
      <c r="AC445" s="226">
        <f t="shared" si="110"/>
        <v>19606</v>
      </c>
      <c r="AD445" s="226" t="str">
        <f t="shared" si="111"/>
        <v>7200-200</v>
      </c>
    </row>
    <row r="446" spans="2:30" ht="12.5">
      <c r="B446" s="336"/>
      <c r="C446" s="337"/>
      <c r="D446" s="302">
        <f>VLOOKUP(E446,'1.2-Jaarprijzen'!B:G,6,FALSE)</f>
        <v>1</v>
      </c>
      <c r="E446" s="522" t="s">
        <v>88</v>
      </c>
      <c r="F446" s="302" t="s">
        <v>201</v>
      </c>
      <c r="G446" s="525" t="s">
        <v>239</v>
      </c>
      <c r="H446" s="523" t="s">
        <v>252</v>
      </c>
      <c r="I446" s="303" t="str">
        <f t="shared" si="101"/>
        <v>administratieve -, personeels- en vergaderruimte</v>
      </c>
      <c r="J446" s="302" t="s">
        <v>218</v>
      </c>
      <c r="K446" s="304">
        <v>16.010000000000002</v>
      </c>
      <c r="L446" s="304"/>
      <c r="M446" s="305">
        <v>1080</v>
      </c>
      <c r="N446" s="302"/>
      <c r="O446" s="306">
        <f t="shared" si="105"/>
        <v>80</v>
      </c>
      <c r="P446" s="472">
        <v>1</v>
      </c>
      <c r="Q446" s="472">
        <v>1</v>
      </c>
      <c r="R446" s="300">
        <f t="shared" si="106"/>
        <v>3.3497846153846158</v>
      </c>
      <c r="S446" s="300">
        <f t="shared" si="107"/>
        <v>0.59113846153846161</v>
      </c>
      <c r="T446" s="300">
        <f t="shared" si="108"/>
        <v>0</v>
      </c>
      <c r="U446" s="307">
        <f t="shared" si="102"/>
        <v>0.20923076923076925</v>
      </c>
      <c r="V446" s="307">
        <f t="shared" si="103"/>
        <v>3.6923076923076927E-2</v>
      </c>
      <c r="W446" s="307">
        <f t="shared" si="104"/>
        <v>0</v>
      </c>
      <c r="X446" s="308" t="str">
        <f t="shared" si="109"/>
        <v>V</v>
      </c>
      <c r="Y446" s="309"/>
      <c r="Z446" s="310">
        <f>(R446+S446+T446)*'1.0-Contractblad'!$L$37</f>
        <v>119.67666318576971</v>
      </c>
      <c r="AA446" s="310">
        <f ca="1">VLOOKUP(E446,'1.2-Jaarprijzen'!$B$51:$Q$88,16,FALSE)*K446</f>
        <v>0</v>
      </c>
      <c r="AC446" s="226">
        <f t="shared" si="110"/>
        <v>1280.8000000000002</v>
      </c>
      <c r="AD446" s="226" t="str">
        <f t="shared" si="111"/>
        <v>1080-80</v>
      </c>
    </row>
    <row r="447" spans="2:30" ht="12.5">
      <c r="B447" s="336"/>
      <c r="C447" s="337"/>
      <c r="D447" s="302">
        <f>VLOOKUP(E447,'1.2-Jaarprijzen'!B:G,6,FALSE)</f>
        <v>1</v>
      </c>
      <c r="E447" s="522" t="s">
        <v>88</v>
      </c>
      <c r="F447" s="302" t="s">
        <v>201</v>
      </c>
      <c r="G447" s="525" t="s">
        <v>241</v>
      </c>
      <c r="H447" s="523" t="s">
        <v>529</v>
      </c>
      <c r="I447" s="303" t="str">
        <f t="shared" si="101"/>
        <v>niet van toepassing</v>
      </c>
      <c r="J447" s="302" t="s">
        <v>218</v>
      </c>
      <c r="K447" s="304"/>
      <c r="L447" s="304">
        <v>11.19</v>
      </c>
      <c r="M447" s="305" t="s">
        <v>147</v>
      </c>
      <c r="N447" s="302"/>
      <c r="O447" s="306">
        <f t="shared" si="105"/>
        <v>0</v>
      </c>
      <c r="P447" s="472">
        <v>1</v>
      </c>
      <c r="Q447" s="472">
        <v>1</v>
      </c>
      <c r="R447" s="300">
        <f t="shared" si="106"/>
        <v>0</v>
      </c>
      <c r="S447" s="300">
        <f t="shared" si="107"/>
        <v>0</v>
      </c>
      <c r="T447" s="300">
        <f t="shared" si="108"/>
        <v>0</v>
      </c>
      <c r="U447" s="307">
        <f t="shared" si="102"/>
        <v>0</v>
      </c>
      <c r="V447" s="307">
        <f t="shared" si="103"/>
        <v>0</v>
      </c>
      <c r="W447" s="307">
        <f t="shared" si="104"/>
        <v>0</v>
      </c>
      <c r="X447" s="308">
        <f t="shared" si="109"/>
        <v>0</v>
      </c>
      <c r="Y447" s="309"/>
      <c r="Z447" s="310">
        <f>(R447+S447+T447)*'1.0-Contractblad'!$L$37</f>
        <v>0</v>
      </c>
      <c r="AA447" s="310">
        <f ca="1">VLOOKUP(E447,'1.2-Jaarprijzen'!$B$51:$Q$88,16,FALSE)*K447</f>
        <v>0</v>
      </c>
      <c r="AC447" s="226">
        <f t="shared" si="110"/>
        <v>0</v>
      </c>
      <c r="AD447" s="226" t="str">
        <f t="shared" si="111"/>
        <v>nvt-0</v>
      </c>
    </row>
    <row r="448" spans="2:30" ht="12.5">
      <c r="B448" s="336"/>
      <c r="C448" s="337"/>
      <c r="D448" s="302">
        <f>VLOOKUP(E448,'1.2-Jaarprijzen'!B:G,6,FALSE)</f>
        <v>1</v>
      </c>
      <c r="E448" s="522" t="s">
        <v>88</v>
      </c>
      <c r="F448" s="302" t="s">
        <v>201</v>
      </c>
      <c r="G448" s="525" t="s">
        <v>242</v>
      </c>
      <c r="H448" s="523" t="s">
        <v>437</v>
      </c>
      <c r="I448" s="303" t="str">
        <f t="shared" si="101"/>
        <v>leslokaal/leerplein</v>
      </c>
      <c r="J448" s="302" t="s">
        <v>218</v>
      </c>
      <c r="K448" s="304">
        <v>45.86</v>
      </c>
      <c r="L448" s="304"/>
      <c r="M448" s="305">
        <v>7200</v>
      </c>
      <c r="N448" s="302"/>
      <c r="O448" s="306">
        <f t="shared" si="105"/>
        <v>200</v>
      </c>
      <c r="P448" s="472">
        <v>1</v>
      </c>
      <c r="Q448" s="472">
        <v>1</v>
      </c>
      <c r="R448" s="300">
        <f t="shared" si="106"/>
        <v>23.988307692307693</v>
      </c>
      <c r="S448" s="300">
        <f t="shared" si="107"/>
        <v>4.2332307692307696</v>
      </c>
      <c r="T448" s="300">
        <f t="shared" si="108"/>
        <v>0</v>
      </c>
      <c r="U448" s="307">
        <f t="shared" si="102"/>
        <v>0.52307692307692311</v>
      </c>
      <c r="V448" s="307">
        <f t="shared" si="103"/>
        <v>9.2307692307692313E-2</v>
      </c>
      <c r="W448" s="307">
        <f t="shared" si="104"/>
        <v>0</v>
      </c>
      <c r="X448" s="308" t="str">
        <f t="shared" si="109"/>
        <v>L</v>
      </c>
      <c r="Y448" s="309"/>
      <c r="Z448" s="310">
        <f>(R448+S448+T448)*'1.0-Contractblad'!$L$37</f>
        <v>857.02245060890039</v>
      </c>
      <c r="AA448" s="310">
        <f ca="1">VLOOKUP(E448,'1.2-Jaarprijzen'!$B$51:$Q$88,16,FALSE)*K448</f>
        <v>0</v>
      </c>
      <c r="AC448" s="226">
        <f t="shared" si="110"/>
        <v>9172</v>
      </c>
      <c r="AD448" s="226" t="str">
        <f t="shared" si="111"/>
        <v>7200-200</v>
      </c>
    </row>
    <row r="449" spans="2:30" ht="12.5">
      <c r="B449" s="336"/>
      <c r="C449" s="337"/>
      <c r="D449" s="302">
        <f>VLOOKUP(E449,'1.2-Jaarprijzen'!B:G,6,FALSE)</f>
        <v>1</v>
      </c>
      <c r="E449" s="522" t="s">
        <v>88</v>
      </c>
      <c r="F449" s="302" t="s">
        <v>201</v>
      </c>
      <c r="G449" s="525" t="s">
        <v>244</v>
      </c>
      <c r="H449" s="523" t="s">
        <v>347</v>
      </c>
      <c r="I449" s="303" t="str">
        <f t="shared" si="101"/>
        <v>speellokaal</v>
      </c>
      <c r="J449" s="302" t="s">
        <v>264</v>
      </c>
      <c r="K449" s="304">
        <v>25.8</v>
      </c>
      <c r="L449" s="304"/>
      <c r="M449" s="305">
        <v>8200</v>
      </c>
      <c r="N449" s="302"/>
      <c r="O449" s="306">
        <f t="shared" si="105"/>
        <v>200</v>
      </c>
      <c r="P449" s="472">
        <v>1</v>
      </c>
      <c r="Q449" s="472">
        <v>1</v>
      </c>
      <c r="R449" s="300">
        <f t="shared" si="106"/>
        <v>14.809199999999999</v>
      </c>
      <c r="S449" s="300">
        <f t="shared" si="107"/>
        <v>1.8735522624335614</v>
      </c>
      <c r="T449" s="300">
        <f t="shared" si="108"/>
        <v>0</v>
      </c>
      <c r="U449" s="307">
        <f t="shared" si="102"/>
        <v>0.57399999999999995</v>
      </c>
      <c r="V449" s="307">
        <f t="shared" si="103"/>
        <v>7.2618304745486875E-2</v>
      </c>
      <c r="W449" s="307">
        <f t="shared" si="104"/>
        <v>0</v>
      </c>
      <c r="X449" s="308" t="str">
        <f t="shared" si="109"/>
        <v>L</v>
      </c>
      <c r="Y449" s="309"/>
      <c r="Z449" s="310">
        <f>(R449+S449+T449)*'1.0-Contractblad'!$L$37</f>
        <v>506.61636488518269</v>
      </c>
      <c r="AA449" s="310">
        <f ca="1">VLOOKUP(E449,'1.2-Jaarprijzen'!$B$51:$Q$88,16,FALSE)*K449</f>
        <v>0</v>
      </c>
      <c r="AC449" s="226">
        <f t="shared" si="110"/>
        <v>5160</v>
      </c>
      <c r="AD449" s="226" t="str">
        <f t="shared" si="111"/>
        <v>8200-200</v>
      </c>
    </row>
    <row r="450" spans="2:30" ht="12.5">
      <c r="B450" s="336"/>
      <c r="C450" s="337"/>
      <c r="D450" s="302">
        <f>VLOOKUP(E450,'1.2-Jaarprijzen'!B:G,6,FALSE)</f>
        <v>1</v>
      </c>
      <c r="E450" s="522" t="s">
        <v>88</v>
      </c>
      <c r="F450" s="302" t="s">
        <v>201</v>
      </c>
      <c r="G450" s="525" t="s">
        <v>246</v>
      </c>
      <c r="H450" s="523" t="s">
        <v>437</v>
      </c>
      <c r="I450" s="303" t="str">
        <f t="shared" si="101"/>
        <v>leslokaal/leerplein</v>
      </c>
      <c r="J450" s="302" t="s">
        <v>218</v>
      </c>
      <c r="K450" s="304">
        <v>74.38</v>
      </c>
      <c r="L450" s="304"/>
      <c r="M450" s="305">
        <v>7200</v>
      </c>
      <c r="N450" s="302"/>
      <c r="O450" s="306">
        <f t="shared" si="105"/>
        <v>200</v>
      </c>
      <c r="P450" s="472">
        <v>1</v>
      </c>
      <c r="Q450" s="472">
        <v>1</v>
      </c>
      <c r="R450" s="300">
        <f t="shared" si="106"/>
        <v>38.906461538461535</v>
      </c>
      <c r="S450" s="300">
        <f t="shared" si="107"/>
        <v>6.8658461538461539</v>
      </c>
      <c r="T450" s="300">
        <f t="shared" si="108"/>
        <v>0</v>
      </c>
      <c r="U450" s="307">
        <f t="shared" si="102"/>
        <v>0.52307692307692311</v>
      </c>
      <c r="V450" s="307">
        <f t="shared" si="103"/>
        <v>9.2307692307692313E-2</v>
      </c>
      <c r="W450" s="307">
        <f t="shared" si="104"/>
        <v>0</v>
      </c>
      <c r="X450" s="308" t="str">
        <f t="shared" si="109"/>
        <v>L</v>
      </c>
      <c r="Y450" s="309"/>
      <c r="Z450" s="310">
        <f>(R450+S450+T450)*'1.0-Contractblad'!$L$37</f>
        <v>1389.9984709177934</v>
      </c>
      <c r="AA450" s="310">
        <f ca="1">VLOOKUP(E450,'1.2-Jaarprijzen'!$B$51:$Q$88,16,FALSE)*K450</f>
        <v>0</v>
      </c>
      <c r="AC450" s="226">
        <f t="shared" si="110"/>
        <v>14876</v>
      </c>
      <c r="AD450" s="226" t="str">
        <f t="shared" si="111"/>
        <v>7200-200</v>
      </c>
    </row>
    <row r="451" spans="2:30" ht="12.5">
      <c r="B451" s="336"/>
      <c r="C451" s="337"/>
      <c r="D451" s="302">
        <f>VLOOKUP(E451,'1.2-Jaarprijzen'!B:G,6,FALSE)</f>
        <v>1</v>
      </c>
      <c r="E451" s="522" t="s">
        <v>88</v>
      </c>
      <c r="F451" s="302" t="s">
        <v>201</v>
      </c>
      <c r="G451" s="525" t="s">
        <v>248</v>
      </c>
      <c r="H451" s="523" t="s">
        <v>280</v>
      </c>
      <c r="I451" s="303" t="str">
        <f t="shared" si="101"/>
        <v>entree, gang, hal, repro, kopieer, was/droogruimte</v>
      </c>
      <c r="J451" s="302" t="s">
        <v>218</v>
      </c>
      <c r="K451" s="304">
        <v>20.89</v>
      </c>
      <c r="L451" s="304"/>
      <c r="M451" s="305">
        <v>3200</v>
      </c>
      <c r="N451" s="302"/>
      <c r="O451" s="306">
        <f t="shared" si="105"/>
        <v>200</v>
      </c>
      <c r="P451" s="472">
        <v>1</v>
      </c>
      <c r="Q451" s="472">
        <v>1</v>
      </c>
      <c r="R451" s="300">
        <f t="shared" si="106"/>
        <v>7.8627418323524685</v>
      </c>
      <c r="S451" s="300">
        <f t="shared" si="107"/>
        <v>2.3716422374758808</v>
      </c>
      <c r="T451" s="300">
        <f t="shared" si="108"/>
        <v>0</v>
      </c>
      <c r="U451" s="307">
        <f t="shared" si="102"/>
        <v>0.37638783304703055</v>
      </c>
      <c r="V451" s="307">
        <f t="shared" si="103"/>
        <v>0.11353002572885977</v>
      </c>
      <c r="W451" s="307">
        <f t="shared" si="104"/>
        <v>0</v>
      </c>
      <c r="X451" s="308" t="str">
        <f t="shared" si="109"/>
        <v>V</v>
      </c>
      <c r="Y451" s="309"/>
      <c r="Z451" s="310">
        <f>(R451+S451+T451)*'1.0-Contractblad'!$L$37</f>
        <v>310.79442844516132</v>
      </c>
      <c r="AA451" s="310">
        <f ca="1">VLOOKUP(E451,'1.2-Jaarprijzen'!$B$51:$Q$88,16,FALSE)*K451</f>
        <v>0</v>
      </c>
      <c r="AC451" s="226">
        <f t="shared" si="110"/>
        <v>4178</v>
      </c>
      <c r="AD451" s="226" t="str">
        <f t="shared" si="111"/>
        <v>3200-200</v>
      </c>
    </row>
    <row r="452" spans="2:30" ht="12.5">
      <c r="B452" s="336"/>
      <c r="C452" s="337"/>
      <c r="D452" s="302">
        <f>VLOOKUP(E452,'1.2-Jaarprijzen'!B:G,6,FALSE)</f>
        <v>1</v>
      </c>
      <c r="E452" s="522" t="s">
        <v>88</v>
      </c>
      <c r="F452" s="302" t="s">
        <v>201</v>
      </c>
      <c r="G452" s="525" t="s">
        <v>250</v>
      </c>
      <c r="H452" s="523" t="s">
        <v>220</v>
      </c>
      <c r="I452" s="303" t="str">
        <f t="shared" si="101"/>
        <v>sanitaire ruimte (toilet-/doucheruimte)</v>
      </c>
      <c r="J452" s="302" t="s">
        <v>208</v>
      </c>
      <c r="K452" s="304">
        <v>3.83</v>
      </c>
      <c r="L452" s="304"/>
      <c r="M452" s="305">
        <v>4200</v>
      </c>
      <c r="N452" s="302"/>
      <c r="O452" s="306">
        <f t="shared" si="105"/>
        <v>200</v>
      </c>
      <c r="P452" s="472">
        <v>1</v>
      </c>
      <c r="Q452" s="472">
        <v>1</v>
      </c>
      <c r="R452" s="300">
        <f t="shared" si="106"/>
        <v>10.264858899574334</v>
      </c>
      <c r="S452" s="300">
        <f t="shared" si="107"/>
        <v>1.8114456881601766</v>
      </c>
      <c r="T452" s="300">
        <f t="shared" si="108"/>
        <v>0</v>
      </c>
      <c r="U452" s="307">
        <f t="shared" si="102"/>
        <v>2.6801198171212359</v>
      </c>
      <c r="V452" s="307">
        <f t="shared" si="103"/>
        <v>0.4729623206684534</v>
      </c>
      <c r="W452" s="307">
        <f t="shared" si="104"/>
        <v>0</v>
      </c>
      <c r="X452" s="308" t="str">
        <f t="shared" si="109"/>
        <v>S</v>
      </c>
      <c r="Y452" s="309"/>
      <c r="Z452" s="310">
        <f>(R452+S452+T452)*'1.0-Contractblad'!$L$37</f>
        <v>366.72926836305214</v>
      </c>
      <c r="AA452" s="310">
        <f ca="1">VLOOKUP(E452,'1.2-Jaarprijzen'!$B$51:$Q$88,16,FALSE)*K452</f>
        <v>0</v>
      </c>
      <c r="AC452" s="226">
        <f t="shared" si="110"/>
        <v>766</v>
      </c>
      <c r="AD452" s="226" t="str">
        <f t="shared" si="111"/>
        <v>4200-200</v>
      </c>
    </row>
    <row r="453" spans="2:30" ht="12.5">
      <c r="B453" s="336"/>
      <c r="C453" s="337"/>
      <c r="D453" s="302">
        <f>VLOOKUP(E453,'1.2-Jaarprijzen'!B:G,6,FALSE)</f>
        <v>1</v>
      </c>
      <c r="E453" s="522" t="s">
        <v>88</v>
      </c>
      <c r="F453" s="302" t="s">
        <v>201</v>
      </c>
      <c r="G453" s="525" t="s">
        <v>251</v>
      </c>
      <c r="H453" s="523" t="s">
        <v>220</v>
      </c>
      <c r="I453" s="303" t="str">
        <f t="shared" si="101"/>
        <v>sanitaire ruimte (toilet-/doucheruimte)</v>
      </c>
      <c r="J453" s="302" t="s">
        <v>208</v>
      </c>
      <c r="K453" s="304">
        <v>3.71</v>
      </c>
      <c r="L453" s="304"/>
      <c r="M453" s="305">
        <v>4200</v>
      </c>
      <c r="N453" s="302"/>
      <c r="O453" s="306">
        <f t="shared" si="105"/>
        <v>200</v>
      </c>
      <c r="P453" s="472">
        <v>1</v>
      </c>
      <c r="Q453" s="472">
        <v>1</v>
      </c>
      <c r="R453" s="300">
        <f t="shared" si="106"/>
        <v>9.9432445215197856</v>
      </c>
      <c r="S453" s="300">
        <f t="shared" si="107"/>
        <v>1.7546902096799621</v>
      </c>
      <c r="T453" s="300">
        <f t="shared" si="108"/>
        <v>0</v>
      </c>
      <c r="U453" s="307">
        <f t="shared" si="102"/>
        <v>2.6801198171212359</v>
      </c>
      <c r="V453" s="307">
        <f t="shared" si="103"/>
        <v>0.4729623206684534</v>
      </c>
      <c r="W453" s="307">
        <f t="shared" si="104"/>
        <v>0</v>
      </c>
      <c r="X453" s="308" t="str">
        <f t="shared" si="109"/>
        <v>S</v>
      </c>
      <c r="Y453" s="309"/>
      <c r="Z453" s="310">
        <f>(R453+S453+T453)*'1.0-Contractblad'!$L$37</f>
        <v>355.23905629945784</v>
      </c>
      <c r="AA453" s="310">
        <f ca="1">VLOOKUP(E453,'1.2-Jaarprijzen'!$B$51:$Q$88,16,FALSE)*K453</f>
        <v>0</v>
      </c>
      <c r="AC453" s="226">
        <f t="shared" si="110"/>
        <v>742</v>
      </c>
      <c r="AD453" s="226" t="str">
        <f t="shared" si="111"/>
        <v>4200-200</v>
      </c>
    </row>
    <row r="454" spans="2:30" ht="12.5">
      <c r="B454" s="336"/>
      <c r="C454" s="337"/>
      <c r="D454" s="302">
        <f>VLOOKUP(E454,'1.2-Jaarprijzen'!B:G,6,FALSE)</f>
        <v>1</v>
      </c>
      <c r="E454" s="522" t="s">
        <v>88</v>
      </c>
      <c r="F454" s="302" t="s">
        <v>201</v>
      </c>
      <c r="G454" s="525" t="s">
        <v>254</v>
      </c>
      <c r="H454" s="522" t="s">
        <v>327</v>
      </c>
      <c r="I454" s="303" t="str">
        <f t="shared" si="101"/>
        <v>sanitaire ruimte (toilet-/doucheruimte)</v>
      </c>
      <c r="J454" s="302" t="s">
        <v>208</v>
      </c>
      <c r="K454" s="304">
        <v>3.82</v>
      </c>
      <c r="L454" s="304"/>
      <c r="M454" s="305">
        <v>4200</v>
      </c>
      <c r="N454" s="302"/>
      <c r="O454" s="306">
        <f t="shared" si="105"/>
        <v>200</v>
      </c>
      <c r="P454" s="472">
        <v>1</v>
      </c>
      <c r="Q454" s="472">
        <v>1</v>
      </c>
      <c r="R454" s="300">
        <f t="shared" si="106"/>
        <v>10.23805770140312</v>
      </c>
      <c r="S454" s="300">
        <f t="shared" si="107"/>
        <v>1.8067160649534919</v>
      </c>
      <c r="T454" s="300">
        <f t="shared" si="108"/>
        <v>0</v>
      </c>
      <c r="U454" s="307">
        <f t="shared" si="102"/>
        <v>2.6801198171212359</v>
      </c>
      <c r="V454" s="307">
        <f t="shared" si="103"/>
        <v>0.4729623206684534</v>
      </c>
      <c r="W454" s="307">
        <f t="shared" si="104"/>
        <v>0</v>
      </c>
      <c r="X454" s="308" t="str">
        <f t="shared" si="109"/>
        <v>S</v>
      </c>
      <c r="Y454" s="309"/>
      <c r="Z454" s="310">
        <f>(R454+S454+T454)*'1.0-Contractblad'!$L$37</f>
        <v>365.77175069108591</v>
      </c>
      <c r="AA454" s="310">
        <f ca="1">VLOOKUP(E454,'1.2-Jaarprijzen'!$B$51:$Q$88,16,FALSE)*K454</f>
        <v>0</v>
      </c>
      <c r="AC454" s="226">
        <f t="shared" si="110"/>
        <v>764</v>
      </c>
      <c r="AD454" s="226" t="str">
        <f t="shared" si="111"/>
        <v>4200-200</v>
      </c>
    </row>
    <row r="455" spans="2:30" ht="12.5">
      <c r="B455" s="336"/>
      <c r="C455" s="337"/>
      <c r="D455" s="302">
        <f>VLOOKUP(E455,'1.2-Jaarprijzen'!B:G,6,FALSE)</f>
        <v>1</v>
      </c>
      <c r="E455" s="522" t="s">
        <v>88</v>
      </c>
      <c r="F455" s="302" t="s">
        <v>201</v>
      </c>
      <c r="G455" s="525" t="s">
        <v>255</v>
      </c>
      <c r="H455" s="523" t="s">
        <v>531</v>
      </c>
      <c r="I455" s="303" t="str">
        <f t="shared" si="101"/>
        <v>niet van toepassing</v>
      </c>
      <c r="J455" s="302" t="s">
        <v>208</v>
      </c>
      <c r="K455" s="304"/>
      <c r="L455" s="304">
        <v>1.35</v>
      </c>
      <c r="M455" s="305" t="s">
        <v>147</v>
      </c>
      <c r="N455" s="302"/>
      <c r="O455" s="306">
        <f t="shared" si="105"/>
        <v>0</v>
      </c>
      <c r="P455" s="472">
        <v>1</v>
      </c>
      <c r="Q455" s="472">
        <v>1</v>
      </c>
      <c r="R455" s="300">
        <f t="shared" si="106"/>
        <v>0</v>
      </c>
      <c r="S455" s="300">
        <f t="shared" si="107"/>
        <v>0</v>
      </c>
      <c r="T455" s="300">
        <f t="shared" si="108"/>
        <v>0</v>
      </c>
      <c r="U455" s="307">
        <f t="shared" si="102"/>
        <v>0</v>
      </c>
      <c r="V455" s="307">
        <f t="shared" si="103"/>
        <v>0</v>
      </c>
      <c r="W455" s="307">
        <f t="shared" si="104"/>
        <v>0</v>
      </c>
      <c r="X455" s="308">
        <f t="shared" si="109"/>
        <v>0</v>
      </c>
      <c r="Y455" s="309"/>
      <c r="Z455" s="310">
        <f>(R455+S455+T455)*'1.0-Contractblad'!$L$37</f>
        <v>0</v>
      </c>
      <c r="AA455" s="310">
        <f ca="1">VLOOKUP(E455,'1.2-Jaarprijzen'!$B$51:$Q$88,16,FALSE)*K455</f>
        <v>0</v>
      </c>
      <c r="AC455" s="226">
        <f t="shared" si="110"/>
        <v>0</v>
      </c>
      <c r="AD455" s="226" t="str">
        <f t="shared" si="111"/>
        <v>nvt-0</v>
      </c>
    </row>
    <row r="456" spans="2:30" ht="12.5">
      <c r="B456" s="336"/>
      <c r="C456" s="337"/>
      <c r="D456" s="302">
        <f>VLOOKUP(E456,'1.2-Jaarprijzen'!B:G,6,FALSE)</f>
        <v>1</v>
      </c>
      <c r="E456" s="522" t="s">
        <v>88</v>
      </c>
      <c r="F456" s="302" t="s">
        <v>272</v>
      </c>
      <c r="G456" s="525" t="s">
        <v>273</v>
      </c>
      <c r="H456" s="523" t="s">
        <v>135</v>
      </c>
      <c r="I456" s="303" t="str">
        <f t="shared" si="101"/>
        <v>trappenhuis</v>
      </c>
      <c r="J456" s="302" t="s">
        <v>208</v>
      </c>
      <c r="K456" s="304">
        <v>24.29</v>
      </c>
      <c r="L456" s="304"/>
      <c r="M456" s="305">
        <v>9200</v>
      </c>
      <c r="N456" s="302"/>
      <c r="O456" s="306">
        <f t="shared" si="105"/>
        <v>200</v>
      </c>
      <c r="P456" s="472">
        <v>1</v>
      </c>
      <c r="Q456" s="472">
        <v>1</v>
      </c>
      <c r="R456" s="300">
        <f t="shared" si="106"/>
        <v>17.142113371335697</v>
      </c>
      <c r="S456" s="300">
        <f t="shared" si="107"/>
        <v>1.068276630387587</v>
      </c>
      <c r="T456" s="300">
        <f t="shared" si="108"/>
        <v>0</v>
      </c>
      <c r="U456" s="307">
        <f t="shared" si="102"/>
        <v>0.70572718696318226</v>
      </c>
      <c r="V456" s="307">
        <f t="shared" si="103"/>
        <v>4.3980100057125854E-2</v>
      </c>
      <c r="W456" s="307">
        <f t="shared" si="104"/>
        <v>0</v>
      </c>
      <c r="X456" s="308" t="str">
        <f t="shared" si="109"/>
        <v>V</v>
      </c>
      <c r="Y456" s="309"/>
      <c r="Z456" s="310">
        <f>(R456+S456+T456)*'1.0-Contractblad'!$L$37</f>
        <v>553.00716816307556</v>
      </c>
      <c r="AA456" s="310">
        <f ca="1">VLOOKUP(E456,'1.2-Jaarprijzen'!$B$51:$Q$88,16,FALSE)*K456</f>
        <v>0</v>
      </c>
      <c r="AC456" s="226">
        <f t="shared" si="110"/>
        <v>4858</v>
      </c>
      <c r="AD456" s="226" t="str">
        <f t="shared" si="111"/>
        <v>9200-200</v>
      </c>
    </row>
    <row r="457" spans="2:30" ht="12.5">
      <c r="B457" s="336"/>
      <c r="C457" s="337"/>
      <c r="D457" s="302">
        <f>VLOOKUP(E457,'1.2-Jaarprijzen'!B:G,6,FALSE)</f>
        <v>1</v>
      </c>
      <c r="E457" s="522" t="s">
        <v>88</v>
      </c>
      <c r="F457" s="302" t="s">
        <v>272</v>
      </c>
      <c r="G457" s="525" t="s">
        <v>274</v>
      </c>
      <c r="H457" s="523" t="s">
        <v>282</v>
      </c>
      <c r="I457" s="303" t="str">
        <f t="shared" si="101"/>
        <v>administratieve -, personeels- en vergaderruimte</v>
      </c>
      <c r="J457" s="302" t="s">
        <v>218</v>
      </c>
      <c r="K457" s="304">
        <v>37.57</v>
      </c>
      <c r="L457" s="304"/>
      <c r="M457" s="305">
        <v>1080</v>
      </c>
      <c r="N457" s="302"/>
      <c r="O457" s="306">
        <f t="shared" si="105"/>
        <v>80</v>
      </c>
      <c r="P457" s="472">
        <v>1</v>
      </c>
      <c r="Q457" s="472">
        <v>1</v>
      </c>
      <c r="R457" s="300">
        <f t="shared" si="106"/>
        <v>7.8608000000000011</v>
      </c>
      <c r="S457" s="300">
        <f t="shared" si="107"/>
        <v>1.3872000000000002</v>
      </c>
      <c r="T457" s="300">
        <f t="shared" si="108"/>
        <v>0</v>
      </c>
      <c r="U457" s="307">
        <f t="shared" si="102"/>
        <v>0.20923076923076925</v>
      </c>
      <c r="V457" s="307">
        <f t="shared" si="103"/>
        <v>3.6923076923076927E-2</v>
      </c>
      <c r="W457" s="307">
        <f t="shared" si="104"/>
        <v>0</v>
      </c>
      <c r="X457" s="308" t="str">
        <f t="shared" si="109"/>
        <v>V</v>
      </c>
      <c r="Y457" s="309"/>
      <c r="Z457" s="310">
        <f>(R457+S457+T457)*'1.0-Contractblad'!$L$37</f>
        <v>280.84023959333967</v>
      </c>
      <c r="AA457" s="310">
        <f ca="1">VLOOKUP(E457,'1.2-Jaarprijzen'!$B$51:$Q$88,16,FALSE)*K457</f>
        <v>0</v>
      </c>
      <c r="AC457" s="226">
        <f t="shared" si="110"/>
        <v>3005.6</v>
      </c>
      <c r="AD457" s="226" t="str">
        <f t="shared" si="111"/>
        <v>1080-80</v>
      </c>
    </row>
    <row r="458" spans="2:30" ht="12.5">
      <c r="B458" s="336"/>
      <c r="C458" s="337"/>
      <c r="D458" s="302">
        <f>VLOOKUP(E458,'1.2-Jaarprijzen'!B:G,6,FALSE)</f>
        <v>1</v>
      </c>
      <c r="E458" s="522" t="s">
        <v>88</v>
      </c>
      <c r="F458" s="302" t="s">
        <v>272</v>
      </c>
      <c r="G458" s="525" t="s">
        <v>276</v>
      </c>
      <c r="H458" s="523" t="s">
        <v>396</v>
      </c>
      <c r="I458" s="303" t="str">
        <f t="shared" si="101"/>
        <v>niet van toepassing</v>
      </c>
      <c r="J458" s="302" t="s">
        <v>208</v>
      </c>
      <c r="K458" s="304"/>
      <c r="L458" s="304">
        <v>1.79</v>
      </c>
      <c r="M458" s="305" t="s">
        <v>147</v>
      </c>
      <c r="N458" s="302"/>
      <c r="O458" s="306">
        <f t="shared" si="105"/>
        <v>0</v>
      </c>
      <c r="P458" s="472">
        <v>1</v>
      </c>
      <c r="Q458" s="472">
        <v>1</v>
      </c>
      <c r="R458" s="300">
        <f t="shared" si="106"/>
        <v>0</v>
      </c>
      <c r="S458" s="300">
        <f t="shared" si="107"/>
        <v>0</v>
      </c>
      <c r="T458" s="300">
        <f t="shared" si="108"/>
        <v>0</v>
      </c>
      <c r="U458" s="307">
        <f t="shared" si="102"/>
        <v>0</v>
      </c>
      <c r="V458" s="307">
        <f t="shared" si="103"/>
        <v>0</v>
      </c>
      <c r="W458" s="307">
        <f t="shared" si="104"/>
        <v>0</v>
      </c>
      <c r="X458" s="308">
        <f t="shared" si="109"/>
        <v>0</v>
      </c>
      <c r="Y458" s="309"/>
      <c r="Z458" s="310">
        <f>(R458+S458+T458)*'1.0-Contractblad'!$L$37</f>
        <v>0</v>
      </c>
      <c r="AA458" s="310">
        <f ca="1">VLOOKUP(E458,'1.2-Jaarprijzen'!$B$51:$Q$88,16,FALSE)*K458</f>
        <v>0</v>
      </c>
      <c r="AC458" s="226">
        <f t="shared" si="110"/>
        <v>0</v>
      </c>
      <c r="AD458" s="226" t="str">
        <f t="shared" si="111"/>
        <v>nvt-0</v>
      </c>
    </row>
    <row r="459" spans="2:30" ht="12.5">
      <c r="B459" s="336"/>
      <c r="C459" s="337"/>
      <c r="D459" s="302">
        <f>VLOOKUP(E459,'1.2-Jaarprijzen'!B:G,6,FALSE)</f>
        <v>1</v>
      </c>
      <c r="E459" s="522" t="s">
        <v>88</v>
      </c>
      <c r="F459" s="302" t="s">
        <v>272</v>
      </c>
      <c r="G459" s="525" t="s">
        <v>278</v>
      </c>
      <c r="H459" s="523" t="s">
        <v>252</v>
      </c>
      <c r="I459" s="303" t="str">
        <f t="shared" si="101"/>
        <v>administratieve -, personeels- en vergaderruimte</v>
      </c>
      <c r="J459" s="302" t="s">
        <v>218</v>
      </c>
      <c r="K459" s="304">
        <v>26.74</v>
      </c>
      <c r="L459" s="304"/>
      <c r="M459" s="305">
        <v>1080</v>
      </c>
      <c r="N459" s="302"/>
      <c r="O459" s="306">
        <f t="shared" si="105"/>
        <v>80</v>
      </c>
      <c r="P459" s="472">
        <v>1</v>
      </c>
      <c r="Q459" s="472">
        <v>1</v>
      </c>
      <c r="R459" s="300">
        <f t="shared" si="106"/>
        <v>5.5948307692307697</v>
      </c>
      <c r="S459" s="300">
        <f t="shared" si="107"/>
        <v>0.98732307692307697</v>
      </c>
      <c r="T459" s="300">
        <f t="shared" si="108"/>
        <v>0</v>
      </c>
      <c r="U459" s="307">
        <f t="shared" si="102"/>
        <v>0.20923076923076925</v>
      </c>
      <c r="V459" s="307">
        <f t="shared" si="103"/>
        <v>3.6923076923076927E-2</v>
      </c>
      <c r="W459" s="307">
        <f t="shared" si="104"/>
        <v>0</v>
      </c>
      <c r="X459" s="308" t="str">
        <f t="shared" si="109"/>
        <v>V</v>
      </c>
      <c r="Y459" s="309"/>
      <c r="Z459" s="310">
        <f>(R459+S459+T459)*'1.0-Contractblad'!$L$37</f>
        <v>199.88469541458349</v>
      </c>
      <c r="AA459" s="310">
        <f ca="1">VLOOKUP(E459,'1.2-Jaarprijzen'!$B$51:$Q$88,16,FALSE)*K459</f>
        <v>0</v>
      </c>
      <c r="AC459" s="226">
        <f t="shared" si="110"/>
        <v>2139.1999999999998</v>
      </c>
      <c r="AD459" s="226" t="str">
        <f t="shared" si="111"/>
        <v>1080-80</v>
      </c>
    </row>
    <row r="460" spans="2:30" ht="12.5">
      <c r="B460" s="336"/>
      <c r="C460" s="337"/>
      <c r="D460" s="302">
        <f>VLOOKUP(E460,'1.2-Jaarprijzen'!B:G,6,FALSE)</f>
        <v>1</v>
      </c>
      <c r="E460" s="522" t="s">
        <v>88</v>
      </c>
      <c r="F460" s="302" t="s">
        <v>368</v>
      </c>
      <c r="G460" s="525" t="s">
        <v>369</v>
      </c>
      <c r="H460" s="523" t="s">
        <v>280</v>
      </c>
      <c r="I460" s="303" t="str">
        <f t="shared" si="101"/>
        <v>entree, gang, hal, repro, kopieer, was/droogruimte</v>
      </c>
      <c r="J460" s="302" t="s">
        <v>208</v>
      </c>
      <c r="K460" s="304">
        <v>32.340000000000003</v>
      </c>
      <c r="L460" s="304"/>
      <c r="M460" s="305">
        <v>3200</v>
      </c>
      <c r="N460" s="302"/>
      <c r="O460" s="306">
        <f t="shared" si="105"/>
        <v>200</v>
      </c>
      <c r="P460" s="472">
        <v>1</v>
      </c>
      <c r="Q460" s="472">
        <v>1</v>
      </c>
      <c r="R460" s="300">
        <f t="shared" si="106"/>
        <v>12.172382520740969</v>
      </c>
      <c r="S460" s="300">
        <f t="shared" si="107"/>
        <v>3.6715610320713252</v>
      </c>
      <c r="T460" s="300">
        <f t="shared" si="108"/>
        <v>0</v>
      </c>
      <c r="U460" s="307">
        <f t="shared" si="102"/>
        <v>0.37638783304703055</v>
      </c>
      <c r="V460" s="307">
        <f t="shared" si="103"/>
        <v>0.11353002572885977</v>
      </c>
      <c r="W460" s="307">
        <f t="shared" si="104"/>
        <v>0</v>
      </c>
      <c r="X460" s="308" t="str">
        <f t="shared" si="109"/>
        <v>V</v>
      </c>
      <c r="Y460" s="309"/>
      <c r="Z460" s="310">
        <f>(R460+S460+T460)*'1.0-Contractblad'!$L$37</f>
        <v>481.14369631002955</v>
      </c>
      <c r="AA460" s="310">
        <f ca="1">VLOOKUP(E460,'1.2-Jaarprijzen'!$B$51:$Q$88,16,FALSE)*K460</f>
        <v>0</v>
      </c>
      <c r="AC460" s="226">
        <f t="shared" si="110"/>
        <v>6468.0000000000009</v>
      </c>
      <c r="AD460" s="226" t="str">
        <f t="shared" si="111"/>
        <v>3200-200</v>
      </c>
    </row>
    <row r="461" spans="2:30" ht="12.5">
      <c r="B461" s="336"/>
      <c r="C461" s="337"/>
      <c r="D461" s="302">
        <f>VLOOKUP(E461,'1.2-Jaarprijzen'!B:G,6,FALSE)</f>
        <v>1</v>
      </c>
      <c r="E461" s="522" t="s">
        <v>88</v>
      </c>
      <c r="F461" s="302" t="s">
        <v>368</v>
      </c>
      <c r="G461" s="525" t="s">
        <v>372</v>
      </c>
      <c r="H461" s="523" t="s">
        <v>437</v>
      </c>
      <c r="I461" s="303" t="str">
        <f t="shared" si="101"/>
        <v>leslokaal/leerplein</v>
      </c>
      <c r="J461" s="302" t="s">
        <v>218</v>
      </c>
      <c r="K461" s="304">
        <v>59.01</v>
      </c>
      <c r="L461" s="304"/>
      <c r="M461" s="305">
        <v>7200</v>
      </c>
      <c r="N461" s="302"/>
      <c r="O461" s="306">
        <f t="shared" si="105"/>
        <v>200</v>
      </c>
      <c r="P461" s="472">
        <v>1</v>
      </c>
      <c r="Q461" s="472">
        <v>1</v>
      </c>
      <c r="R461" s="300">
        <f t="shared" si="106"/>
        <v>30.866769230769233</v>
      </c>
      <c r="S461" s="300">
        <f t="shared" si="107"/>
        <v>5.4470769230769234</v>
      </c>
      <c r="T461" s="300">
        <f t="shared" si="108"/>
        <v>0</v>
      </c>
      <c r="U461" s="307">
        <f t="shared" si="102"/>
        <v>0.52307692307692311</v>
      </c>
      <c r="V461" s="307">
        <f t="shared" si="103"/>
        <v>9.2307692307692313E-2</v>
      </c>
      <c r="W461" s="307">
        <f t="shared" si="104"/>
        <v>0</v>
      </c>
      <c r="X461" s="308" t="str">
        <f t="shared" si="109"/>
        <v>L</v>
      </c>
      <c r="Y461" s="309"/>
      <c r="Z461" s="310">
        <f>(R461+S461+T461)*'1.0-Contractblad'!$L$37</f>
        <v>1102.7670041524468</v>
      </c>
      <c r="AA461" s="310">
        <f ca="1">VLOOKUP(E461,'1.2-Jaarprijzen'!$B$51:$Q$88,16,FALSE)*K461</f>
        <v>0</v>
      </c>
      <c r="AC461" s="226">
        <f t="shared" si="110"/>
        <v>11802</v>
      </c>
      <c r="AD461" s="226" t="str">
        <f t="shared" si="111"/>
        <v>7200-200</v>
      </c>
    </row>
    <row r="462" spans="2:30" ht="12.5">
      <c r="B462" s="336"/>
      <c r="C462" s="337"/>
      <c r="D462" s="302">
        <f>VLOOKUP(E462,'1.2-Jaarprijzen'!B:G,6,FALSE)</f>
        <v>1</v>
      </c>
      <c r="E462" s="522" t="s">
        <v>88</v>
      </c>
      <c r="F462" s="302" t="s">
        <v>368</v>
      </c>
      <c r="G462" s="525" t="s">
        <v>373</v>
      </c>
      <c r="H462" s="523" t="s">
        <v>437</v>
      </c>
      <c r="I462" s="303" t="str">
        <f t="shared" si="101"/>
        <v>leslokaal/leerplein</v>
      </c>
      <c r="J462" s="302" t="s">
        <v>218</v>
      </c>
      <c r="K462" s="304">
        <v>57.96</v>
      </c>
      <c r="L462" s="304"/>
      <c r="M462" s="305">
        <v>7200</v>
      </c>
      <c r="N462" s="302"/>
      <c r="O462" s="306">
        <f t="shared" si="105"/>
        <v>200</v>
      </c>
      <c r="P462" s="472">
        <v>1</v>
      </c>
      <c r="Q462" s="472">
        <v>1</v>
      </c>
      <c r="R462" s="300">
        <f t="shared" si="106"/>
        <v>30.317538461538465</v>
      </c>
      <c r="S462" s="300">
        <f t="shared" si="107"/>
        <v>5.3501538461538463</v>
      </c>
      <c r="T462" s="300">
        <f t="shared" si="108"/>
        <v>0</v>
      </c>
      <c r="U462" s="307">
        <f t="shared" si="102"/>
        <v>0.52307692307692311</v>
      </c>
      <c r="V462" s="307">
        <f t="shared" si="103"/>
        <v>9.2307692307692313E-2</v>
      </c>
      <c r="W462" s="307">
        <f t="shared" si="104"/>
        <v>0</v>
      </c>
      <c r="X462" s="308" t="str">
        <f t="shared" si="109"/>
        <v>L</v>
      </c>
      <c r="Y462" s="309"/>
      <c r="Z462" s="310">
        <f>(R462+S462+T462)*'1.0-Contractblad'!$L$37</f>
        <v>1083.1448154664604</v>
      </c>
      <c r="AA462" s="310">
        <f ca="1">VLOOKUP(E462,'1.2-Jaarprijzen'!$B$51:$Q$88,16,FALSE)*K462</f>
        <v>0</v>
      </c>
      <c r="AC462" s="226">
        <f t="shared" si="110"/>
        <v>11592</v>
      </c>
      <c r="AD462" s="226" t="str">
        <f t="shared" si="111"/>
        <v>7200-200</v>
      </c>
    </row>
    <row r="463" spans="2:30" ht="12.5">
      <c r="B463" s="336"/>
      <c r="C463" s="337"/>
      <c r="D463" s="302">
        <f>VLOOKUP(E463,'1.2-Jaarprijzen'!B:G,6,FALSE)</f>
        <v>1</v>
      </c>
      <c r="E463" s="522" t="s">
        <v>88</v>
      </c>
      <c r="F463" s="302" t="s">
        <v>368</v>
      </c>
      <c r="G463" s="525" t="s">
        <v>374</v>
      </c>
      <c r="H463" s="523" t="s">
        <v>437</v>
      </c>
      <c r="I463" s="303" t="str">
        <f t="shared" si="101"/>
        <v>leslokaal/leerplein</v>
      </c>
      <c r="J463" s="302" t="s">
        <v>218</v>
      </c>
      <c r="K463" s="304">
        <v>78.81</v>
      </c>
      <c r="L463" s="304"/>
      <c r="M463" s="305">
        <v>7200</v>
      </c>
      <c r="N463" s="302"/>
      <c r="O463" s="306">
        <f t="shared" si="105"/>
        <v>200</v>
      </c>
      <c r="P463" s="472">
        <v>1</v>
      </c>
      <c r="Q463" s="472">
        <v>1</v>
      </c>
      <c r="R463" s="300">
        <f t="shared" si="106"/>
        <v>41.223692307692311</v>
      </c>
      <c r="S463" s="300">
        <f t="shared" si="107"/>
        <v>7.2747692307692313</v>
      </c>
      <c r="T463" s="300">
        <f t="shared" si="108"/>
        <v>0</v>
      </c>
      <c r="U463" s="307">
        <f t="shared" si="102"/>
        <v>0.52307692307692311</v>
      </c>
      <c r="V463" s="307">
        <f t="shared" si="103"/>
        <v>9.2307692307692313E-2</v>
      </c>
      <c r="W463" s="307">
        <f t="shared" si="104"/>
        <v>0</v>
      </c>
      <c r="X463" s="308" t="str">
        <f t="shared" si="109"/>
        <v>L</v>
      </c>
      <c r="Y463" s="309"/>
      <c r="Z463" s="310">
        <f>(R463+S463+T463)*'1.0-Contractblad'!$L$37</f>
        <v>1472.7854193739086</v>
      </c>
      <c r="AA463" s="310">
        <f ca="1">VLOOKUP(E463,'1.2-Jaarprijzen'!$B$51:$Q$88,16,FALSE)*K463</f>
        <v>0</v>
      </c>
      <c r="AC463" s="226">
        <f t="shared" si="110"/>
        <v>15762</v>
      </c>
      <c r="AD463" s="226" t="str">
        <f t="shared" si="111"/>
        <v>7200-200</v>
      </c>
    </row>
    <row r="464" spans="2:30" ht="12.5">
      <c r="B464" s="336"/>
      <c r="C464" s="337"/>
      <c r="D464" s="302">
        <f>VLOOKUP(E464,'1.2-Jaarprijzen'!B:G,6,FALSE)</f>
        <v>1</v>
      </c>
      <c r="E464" s="522" t="s">
        <v>88</v>
      </c>
      <c r="F464" s="302" t="s">
        <v>368</v>
      </c>
      <c r="G464" s="525" t="s">
        <v>375</v>
      </c>
      <c r="H464" s="523" t="s">
        <v>280</v>
      </c>
      <c r="I464" s="303" t="str">
        <f t="shared" si="101"/>
        <v>entree, gang, hal, repro, kopieer, was/droogruimte</v>
      </c>
      <c r="J464" s="302" t="s">
        <v>208</v>
      </c>
      <c r="K464" s="304">
        <v>26.93</v>
      </c>
      <c r="L464" s="304"/>
      <c r="M464" s="305">
        <v>3200</v>
      </c>
      <c r="N464" s="302"/>
      <c r="O464" s="306">
        <f t="shared" si="105"/>
        <v>200</v>
      </c>
      <c r="P464" s="472">
        <v>1</v>
      </c>
      <c r="Q464" s="472">
        <v>1</v>
      </c>
      <c r="R464" s="300">
        <f t="shared" si="106"/>
        <v>10.136124343956533</v>
      </c>
      <c r="S464" s="300">
        <f t="shared" si="107"/>
        <v>3.0573635928781937</v>
      </c>
      <c r="T464" s="300">
        <f t="shared" si="108"/>
        <v>0</v>
      </c>
      <c r="U464" s="307">
        <f t="shared" si="102"/>
        <v>0.37638783304703055</v>
      </c>
      <c r="V464" s="307">
        <f t="shared" si="103"/>
        <v>0.11353002572885977</v>
      </c>
      <c r="W464" s="307">
        <f t="shared" si="104"/>
        <v>0</v>
      </c>
      <c r="X464" s="308" t="str">
        <f t="shared" si="109"/>
        <v>V</v>
      </c>
      <c r="Y464" s="309"/>
      <c r="Z464" s="310">
        <f>(R464+S464+T464)*'1.0-Contractblad'!$L$37</f>
        <v>400.65552695204377</v>
      </c>
      <c r="AA464" s="310">
        <f ca="1">VLOOKUP(E464,'1.2-Jaarprijzen'!$B$51:$Q$88,16,FALSE)*K464</f>
        <v>0</v>
      </c>
      <c r="AC464" s="226">
        <f t="shared" si="110"/>
        <v>5386</v>
      </c>
      <c r="AD464" s="226" t="str">
        <f t="shared" si="111"/>
        <v>3200-200</v>
      </c>
    </row>
    <row r="465" spans="2:30" ht="12.5">
      <c r="B465" s="336"/>
      <c r="C465" s="337"/>
      <c r="D465" s="302">
        <f>VLOOKUP(E465,'1.2-Jaarprijzen'!B:G,6,FALSE)</f>
        <v>1</v>
      </c>
      <c r="E465" s="522" t="s">
        <v>88</v>
      </c>
      <c r="F465" s="302" t="s">
        <v>368</v>
      </c>
      <c r="G465" s="525" t="s">
        <v>376</v>
      </c>
      <c r="H465" s="523" t="s">
        <v>220</v>
      </c>
      <c r="I465" s="303" t="str">
        <f t="shared" si="101"/>
        <v>sanitaire ruimte (toilet-/doucheruimte)</v>
      </c>
      <c r="J465" s="302" t="s">
        <v>208</v>
      </c>
      <c r="K465" s="304">
        <v>4.6399999999999997</v>
      </c>
      <c r="L465" s="304"/>
      <c r="M465" s="305">
        <v>4200</v>
      </c>
      <c r="N465" s="302"/>
      <c r="O465" s="306">
        <f t="shared" si="105"/>
        <v>200</v>
      </c>
      <c r="P465" s="472">
        <v>1</v>
      </c>
      <c r="Q465" s="472">
        <v>1</v>
      </c>
      <c r="R465" s="300">
        <f t="shared" si="106"/>
        <v>12.435755951442534</v>
      </c>
      <c r="S465" s="300">
        <f t="shared" si="107"/>
        <v>2.1945451679016235</v>
      </c>
      <c r="T465" s="300">
        <f t="shared" si="108"/>
        <v>0</v>
      </c>
      <c r="U465" s="307">
        <f t="shared" si="102"/>
        <v>2.6801198171212359</v>
      </c>
      <c r="V465" s="307">
        <f t="shared" si="103"/>
        <v>0.4729623206684534</v>
      </c>
      <c r="W465" s="307">
        <f t="shared" si="104"/>
        <v>0</v>
      </c>
      <c r="X465" s="308" t="str">
        <f t="shared" si="109"/>
        <v>S</v>
      </c>
      <c r="Y465" s="309"/>
      <c r="Z465" s="310">
        <f>(R465+S465+T465)*'1.0-Contractblad'!$L$37</f>
        <v>444.28819979231378</v>
      </c>
      <c r="AA465" s="310">
        <f ca="1">VLOOKUP(E465,'1.2-Jaarprijzen'!$B$51:$Q$88,16,FALSE)*K465</f>
        <v>0</v>
      </c>
      <c r="AC465" s="226">
        <f t="shared" si="110"/>
        <v>927.99999999999989</v>
      </c>
      <c r="AD465" s="226" t="str">
        <f t="shared" si="111"/>
        <v>4200-200</v>
      </c>
    </row>
    <row r="466" spans="2:30" ht="12.5">
      <c r="B466" s="336"/>
      <c r="C466" s="337"/>
      <c r="D466" s="302">
        <f>VLOOKUP(E466,'1.2-Jaarprijzen'!B:G,6,FALSE)</f>
        <v>1</v>
      </c>
      <c r="E466" s="522" t="s">
        <v>88</v>
      </c>
      <c r="F466" s="302" t="s">
        <v>368</v>
      </c>
      <c r="G466" s="525" t="s">
        <v>377</v>
      </c>
      <c r="H466" s="523" t="s">
        <v>220</v>
      </c>
      <c r="I466" s="303" t="str">
        <f t="shared" si="101"/>
        <v>sanitaire ruimte (toilet-/doucheruimte)</v>
      </c>
      <c r="J466" s="302" t="s">
        <v>208</v>
      </c>
      <c r="K466" s="304">
        <v>4.72</v>
      </c>
      <c r="L466" s="304"/>
      <c r="M466" s="305">
        <v>4200</v>
      </c>
      <c r="N466" s="302"/>
      <c r="O466" s="306">
        <f t="shared" si="105"/>
        <v>200</v>
      </c>
      <c r="P466" s="472">
        <v>1</v>
      </c>
      <c r="Q466" s="472">
        <v>1</v>
      </c>
      <c r="R466" s="300">
        <f t="shared" si="106"/>
        <v>12.650165536812233</v>
      </c>
      <c r="S466" s="300">
        <f t="shared" si="107"/>
        <v>2.2323821535551001</v>
      </c>
      <c r="T466" s="300">
        <f t="shared" si="108"/>
        <v>0</v>
      </c>
      <c r="U466" s="307">
        <f t="shared" si="102"/>
        <v>2.6801198171212359</v>
      </c>
      <c r="V466" s="307">
        <f t="shared" si="103"/>
        <v>0.4729623206684534</v>
      </c>
      <c r="W466" s="307">
        <f t="shared" si="104"/>
        <v>0</v>
      </c>
      <c r="X466" s="308" t="str">
        <f t="shared" si="109"/>
        <v>S</v>
      </c>
      <c r="Y466" s="309"/>
      <c r="Z466" s="310">
        <f>(R466+S466+T466)*'1.0-Contractblad'!$L$37</f>
        <v>451.94834116804338</v>
      </c>
      <c r="AA466" s="310">
        <f ca="1">VLOOKUP(E466,'1.2-Jaarprijzen'!$B$51:$Q$88,16,FALSE)*K466</f>
        <v>0</v>
      </c>
      <c r="AC466" s="226">
        <f t="shared" si="110"/>
        <v>944</v>
      </c>
      <c r="AD466" s="226" t="str">
        <f t="shared" si="111"/>
        <v>4200-200</v>
      </c>
    </row>
    <row r="467" spans="2:30" ht="12.5">
      <c r="B467" s="336"/>
      <c r="C467" s="337"/>
      <c r="D467" s="302">
        <f>VLOOKUP(E467,'1.2-Jaarprijzen'!B:G,6,FALSE)</f>
        <v>1</v>
      </c>
      <c r="E467" s="522" t="s">
        <v>88</v>
      </c>
      <c r="F467" s="302" t="s">
        <v>368</v>
      </c>
      <c r="G467" s="525" t="s">
        <v>379</v>
      </c>
      <c r="H467" s="523" t="s">
        <v>220</v>
      </c>
      <c r="I467" s="303" t="str">
        <f t="shared" si="101"/>
        <v>sanitaire ruimte (toilet-/doucheruimte)</v>
      </c>
      <c r="J467" s="302" t="s">
        <v>208</v>
      </c>
      <c r="K467" s="304">
        <v>2.41</v>
      </c>
      <c r="L467" s="304"/>
      <c r="M467" s="305">
        <v>4200</v>
      </c>
      <c r="N467" s="302"/>
      <c r="O467" s="306">
        <f t="shared" si="105"/>
        <v>200</v>
      </c>
      <c r="P467" s="472">
        <v>1</v>
      </c>
      <c r="Q467" s="472">
        <v>1</v>
      </c>
      <c r="R467" s="300">
        <f t="shared" si="106"/>
        <v>6.4590887592621788</v>
      </c>
      <c r="S467" s="300">
        <f t="shared" si="107"/>
        <v>1.1398391928109728</v>
      </c>
      <c r="T467" s="300">
        <f t="shared" si="108"/>
        <v>0</v>
      </c>
      <c r="U467" s="307">
        <f t="shared" si="102"/>
        <v>2.6801198171212359</v>
      </c>
      <c r="V467" s="307">
        <f t="shared" si="103"/>
        <v>0.4729623206684534</v>
      </c>
      <c r="W467" s="307">
        <f t="shared" si="104"/>
        <v>0</v>
      </c>
      <c r="X467" s="308" t="str">
        <f t="shared" si="109"/>
        <v>S</v>
      </c>
      <c r="Y467" s="309"/>
      <c r="Z467" s="310">
        <f>(R467+S467+T467)*'1.0-Contractblad'!$L$37</f>
        <v>230.76175894385267</v>
      </c>
      <c r="AA467" s="310">
        <f ca="1">VLOOKUP(E467,'1.2-Jaarprijzen'!$B$51:$Q$88,16,FALSE)*K467</f>
        <v>0</v>
      </c>
      <c r="AC467" s="226">
        <f t="shared" si="110"/>
        <v>482</v>
      </c>
      <c r="AD467" s="226" t="str">
        <f t="shared" si="111"/>
        <v>4200-200</v>
      </c>
    </row>
    <row r="468" spans="2:30" ht="12.5">
      <c r="B468" s="336"/>
      <c r="C468" s="337"/>
      <c r="D468" s="302">
        <f>VLOOKUP(E468,'1.2-Jaarprijzen'!B:G,6,FALSE)</f>
        <v>1</v>
      </c>
      <c r="E468" s="522" t="s">
        <v>88</v>
      </c>
      <c r="F468" s="302" t="s">
        <v>368</v>
      </c>
      <c r="G468" s="525" t="s">
        <v>380</v>
      </c>
      <c r="H468" s="523" t="s">
        <v>529</v>
      </c>
      <c r="I468" s="303" t="str">
        <f t="shared" ref="I468:I481" si="112">IF($M468="",0,VLOOKUP($M468,Kengetal,4,FALSE))</f>
        <v>niet van toepassing</v>
      </c>
      <c r="J468" s="302" t="s">
        <v>218</v>
      </c>
      <c r="K468" s="304"/>
      <c r="L468" s="304">
        <v>9.24</v>
      </c>
      <c r="M468" s="305" t="s">
        <v>147</v>
      </c>
      <c r="N468" s="302"/>
      <c r="O468" s="306">
        <f t="shared" si="105"/>
        <v>0</v>
      </c>
      <c r="P468" s="472">
        <v>1</v>
      </c>
      <c r="Q468" s="472">
        <v>1</v>
      </c>
      <c r="R468" s="300">
        <f t="shared" si="106"/>
        <v>0</v>
      </c>
      <c r="S468" s="300">
        <f t="shared" si="107"/>
        <v>0</v>
      </c>
      <c r="T468" s="300">
        <f t="shared" si="108"/>
        <v>0</v>
      </c>
      <c r="U468" s="307">
        <f t="shared" si="102"/>
        <v>0</v>
      </c>
      <c r="V468" s="307">
        <f t="shared" si="103"/>
        <v>0</v>
      </c>
      <c r="W468" s="307">
        <f t="shared" si="104"/>
        <v>0</v>
      </c>
      <c r="X468" s="308">
        <f t="shared" si="109"/>
        <v>0</v>
      </c>
      <c r="Y468" s="309"/>
      <c r="Z468" s="310">
        <f>(R468+S468+T468)*'1.0-Contractblad'!$L$37</f>
        <v>0</v>
      </c>
      <c r="AA468" s="310">
        <f ca="1">VLOOKUP(E468,'1.2-Jaarprijzen'!$B$51:$Q$88,16,FALSE)*K468</f>
        <v>0</v>
      </c>
      <c r="AC468" s="226">
        <f t="shared" si="110"/>
        <v>0</v>
      </c>
      <c r="AD468" s="226" t="str">
        <f t="shared" si="111"/>
        <v>nvt-0</v>
      </c>
    </row>
    <row r="469" spans="2:30" ht="12.5">
      <c r="B469" s="336"/>
      <c r="C469" s="337"/>
      <c r="D469" s="302">
        <f>VLOOKUP(E469,'1.2-Jaarprijzen'!B:G,6,FALSE)</f>
        <v>1</v>
      </c>
      <c r="E469" s="522" t="s">
        <v>88</v>
      </c>
      <c r="F469" s="302" t="s">
        <v>368</v>
      </c>
      <c r="G469" s="525" t="s">
        <v>506</v>
      </c>
      <c r="H469" s="523" t="s">
        <v>220</v>
      </c>
      <c r="I469" s="303" t="str">
        <f t="shared" si="112"/>
        <v>sanitaire ruimte (toilet-/doucheruimte)</v>
      </c>
      <c r="J469" s="302" t="s">
        <v>208</v>
      </c>
      <c r="K469" s="304">
        <v>6.09</v>
      </c>
      <c r="L469" s="304"/>
      <c r="M469" s="305">
        <v>4200</v>
      </c>
      <c r="N469" s="302"/>
      <c r="O469" s="306">
        <f t="shared" si="105"/>
        <v>200</v>
      </c>
      <c r="P469" s="472">
        <v>1</v>
      </c>
      <c r="Q469" s="472">
        <v>1</v>
      </c>
      <c r="R469" s="300">
        <f t="shared" si="106"/>
        <v>16.321929686268327</v>
      </c>
      <c r="S469" s="300">
        <f t="shared" si="107"/>
        <v>2.8803405328708811</v>
      </c>
      <c r="T469" s="300">
        <f t="shared" si="108"/>
        <v>0</v>
      </c>
      <c r="U469" s="307">
        <f t="shared" si="102"/>
        <v>2.6801198171212359</v>
      </c>
      <c r="V469" s="307">
        <f t="shared" si="103"/>
        <v>0.4729623206684534</v>
      </c>
      <c r="W469" s="307">
        <f t="shared" si="104"/>
        <v>0</v>
      </c>
      <c r="X469" s="308" t="str">
        <f t="shared" si="109"/>
        <v>S</v>
      </c>
      <c r="Y469" s="309"/>
      <c r="Z469" s="310">
        <f>(R469+S469+T469)*'1.0-Contractblad'!$L$37</f>
        <v>583.12826222741194</v>
      </c>
      <c r="AA469" s="310">
        <f ca="1">VLOOKUP(E469,'1.2-Jaarprijzen'!$B$51:$Q$88,16,FALSE)*K469</f>
        <v>0</v>
      </c>
      <c r="AC469" s="226">
        <f t="shared" si="110"/>
        <v>1218</v>
      </c>
      <c r="AD469" s="226" t="str">
        <f t="shared" si="111"/>
        <v>4200-200</v>
      </c>
    </row>
    <row r="470" spans="2:30" ht="12.5">
      <c r="B470" s="336"/>
      <c r="C470" s="337"/>
      <c r="D470" s="302">
        <f>VLOOKUP(E470,'1.2-Jaarprijzen'!B:G,6,FALSE)</f>
        <v>1</v>
      </c>
      <c r="E470" s="522" t="s">
        <v>88</v>
      </c>
      <c r="F470" s="302" t="s">
        <v>368</v>
      </c>
      <c r="G470" s="525" t="s">
        <v>507</v>
      </c>
      <c r="H470" s="523" t="s">
        <v>322</v>
      </c>
      <c r="I470" s="303" t="str">
        <f t="shared" si="112"/>
        <v>administratieve -, personeels- en vergaderruimte</v>
      </c>
      <c r="J470" s="302" t="s">
        <v>218</v>
      </c>
      <c r="K470" s="304">
        <v>7.33</v>
      </c>
      <c r="L470" s="304"/>
      <c r="M470" s="305">
        <v>1080</v>
      </c>
      <c r="N470" s="302"/>
      <c r="O470" s="306">
        <f t="shared" si="105"/>
        <v>80</v>
      </c>
      <c r="P470" s="472">
        <v>1</v>
      </c>
      <c r="Q470" s="472">
        <v>1</v>
      </c>
      <c r="R470" s="300">
        <f t="shared" si="106"/>
        <v>1.5336615384615386</v>
      </c>
      <c r="S470" s="300">
        <f t="shared" si="107"/>
        <v>0.27064615384615387</v>
      </c>
      <c r="T470" s="300">
        <f t="shared" si="108"/>
        <v>0</v>
      </c>
      <c r="U470" s="307">
        <f t="shared" si="102"/>
        <v>0.20923076923076925</v>
      </c>
      <c r="V470" s="307">
        <f t="shared" si="103"/>
        <v>3.6923076923076927E-2</v>
      </c>
      <c r="W470" s="307">
        <f t="shared" si="104"/>
        <v>0</v>
      </c>
      <c r="X470" s="308" t="str">
        <f t="shared" si="109"/>
        <v>V</v>
      </c>
      <c r="Y470" s="309"/>
      <c r="Z470" s="310">
        <f>(R470+S470+T470)*'1.0-Contractblad'!$L$37</f>
        <v>54.792625930774015</v>
      </c>
      <c r="AA470" s="310">
        <f ca="1">VLOOKUP(E470,'1.2-Jaarprijzen'!$B$51:$Q$88,16,FALSE)*K470</f>
        <v>0</v>
      </c>
      <c r="AC470" s="226">
        <f t="shared" si="110"/>
        <v>586.4</v>
      </c>
      <c r="AD470" s="226" t="str">
        <f t="shared" si="111"/>
        <v>1080-80</v>
      </c>
    </row>
    <row r="471" spans="2:30" ht="12.5">
      <c r="B471" s="336"/>
      <c r="C471" s="337"/>
      <c r="D471" s="302">
        <f>VLOOKUP(E471,'1.2-Jaarprijzen'!B:G,6,FALSE)</f>
        <v>1</v>
      </c>
      <c r="E471" s="522" t="s">
        <v>88</v>
      </c>
      <c r="F471" s="302" t="s">
        <v>368</v>
      </c>
      <c r="G471" s="525" t="s">
        <v>381</v>
      </c>
      <c r="H471" s="523" t="s">
        <v>437</v>
      </c>
      <c r="I471" s="303" t="str">
        <f t="shared" si="112"/>
        <v>leslokaal/leerplein</v>
      </c>
      <c r="J471" s="302" t="s">
        <v>218</v>
      </c>
      <c r="K471" s="304">
        <v>17.43</v>
      </c>
      <c r="L471" s="304"/>
      <c r="M471" s="305">
        <v>7200</v>
      </c>
      <c r="N471" s="302"/>
      <c r="O471" s="306">
        <f t="shared" si="105"/>
        <v>200</v>
      </c>
      <c r="P471" s="472">
        <v>1</v>
      </c>
      <c r="Q471" s="472">
        <v>1</v>
      </c>
      <c r="R471" s="300">
        <f t="shared" si="106"/>
        <v>9.117230769230769</v>
      </c>
      <c r="S471" s="300">
        <f t="shared" si="107"/>
        <v>1.6089230769230769</v>
      </c>
      <c r="T471" s="300">
        <f t="shared" si="108"/>
        <v>0</v>
      </c>
      <c r="U471" s="307">
        <f t="shared" si="102"/>
        <v>0.52307692307692311</v>
      </c>
      <c r="V471" s="307">
        <f t="shared" si="103"/>
        <v>9.2307692307692313E-2</v>
      </c>
      <c r="W471" s="307">
        <f t="shared" si="104"/>
        <v>0</v>
      </c>
      <c r="X471" s="308" t="str">
        <f t="shared" si="109"/>
        <v>L</v>
      </c>
      <c r="Y471" s="309"/>
      <c r="Z471" s="310">
        <f>(R471+S471+T471)*'1.0-Contractblad'!$L$37</f>
        <v>325.72833218737753</v>
      </c>
      <c r="AA471" s="310">
        <f ca="1">VLOOKUP(E471,'1.2-Jaarprijzen'!$B$51:$Q$88,16,FALSE)*K471</f>
        <v>0</v>
      </c>
      <c r="AC471" s="226">
        <f t="shared" si="110"/>
        <v>3486</v>
      </c>
      <c r="AD471" s="226" t="str">
        <f t="shared" si="111"/>
        <v>7200-200</v>
      </c>
    </row>
    <row r="472" spans="2:30" ht="12.5">
      <c r="B472" s="336"/>
      <c r="C472" s="337"/>
      <c r="D472" s="302">
        <f>VLOOKUP(E472,'1.2-Jaarprijzen'!B:G,6,FALSE)</f>
        <v>1</v>
      </c>
      <c r="E472" s="522" t="s">
        <v>88</v>
      </c>
      <c r="F472" s="302" t="s">
        <v>368</v>
      </c>
      <c r="G472" s="525" t="s">
        <v>382</v>
      </c>
      <c r="H472" s="523" t="s">
        <v>437</v>
      </c>
      <c r="I472" s="303" t="str">
        <f t="shared" si="112"/>
        <v>leslokaal/leerplein</v>
      </c>
      <c r="J472" s="302" t="s">
        <v>218</v>
      </c>
      <c r="K472" s="304">
        <v>54.67</v>
      </c>
      <c r="L472" s="304"/>
      <c r="M472" s="305">
        <v>7200</v>
      </c>
      <c r="N472" s="302"/>
      <c r="O472" s="306">
        <f t="shared" si="105"/>
        <v>200</v>
      </c>
      <c r="P472" s="472">
        <v>1</v>
      </c>
      <c r="Q472" s="472">
        <v>1</v>
      </c>
      <c r="R472" s="300">
        <f t="shared" si="106"/>
        <v>28.596615384615387</v>
      </c>
      <c r="S472" s="300">
        <f t="shared" si="107"/>
        <v>5.0464615384615392</v>
      </c>
      <c r="T472" s="300">
        <f t="shared" si="108"/>
        <v>0</v>
      </c>
      <c r="U472" s="307">
        <f t="shared" si="102"/>
        <v>0.52307692307692311</v>
      </c>
      <c r="V472" s="307">
        <f t="shared" si="103"/>
        <v>9.2307692307692313E-2</v>
      </c>
      <c r="W472" s="307">
        <f t="shared" si="104"/>
        <v>0</v>
      </c>
      <c r="X472" s="308" t="str">
        <f t="shared" si="109"/>
        <v>L</v>
      </c>
      <c r="Y472" s="309"/>
      <c r="Z472" s="310">
        <f>(R472+S472+T472)*'1.0-Contractblad'!$L$37</f>
        <v>1021.6619575837024</v>
      </c>
      <c r="AA472" s="310">
        <f ca="1">VLOOKUP(E472,'1.2-Jaarprijzen'!$B$51:$Q$88,16,FALSE)*K472</f>
        <v>0</v>
      </c>
      <c r="AC472" s="226">
        <f t="shared" si="110"/>
        <v>10934</v>
      </c>
      <c r="AD472" s="226" t="str">
        <f t="shared" si="111"/>
        <v>7200-200</v>
      </c>
    </row>
    <row r="473" spans="2:30" ht="12.5">
      <c r="B473" s="336"/>
      <c r="C473" s="337"/>
      <c r="D473" s="302">
        <f>VLOOKUP(E473,'1.2-Jaarprijzen'!B:G,6,FALSE)</f>
        <v>1</v>
      </c>
      <c r="E473" s="522" t="s">
        <v>88</v>
      </c>
      <c r="F473" s="302" t="s">
        <v>368</v>
      </c>
      <c r="G473" s="525" t="s">
        <v>383</v>
      </c>
      <c r="H473" s="523" t="s">
        <v>437</v>
      </c>
      <c r="I473" s="303" t="str">
        <f t="shared" si="112"/>
        <v>leslokaal/leerplein</v>
      </c>
      <c r="J473" s="302" t="s">
        <v>218</v>
      </c>
      <c r="K473" s="304">
        <v>55.23</v>
      </c>
      <c r="L473" s="304"/>
      <c r="M473" s="305">
        <v>7200</v>
      </c>
      <c r="N473" s="302"/>
      <c r="O473" s="306">
        <f t="shared" si="105"/>
        <v>200</v>
      </c>
      <c r="P473" s="472">
        <v>1</v>
      </c>
      <c r="Q473" s="472">
        <v>1</v>
      </c>
      <c r="R473" s="300">
        <f t="shared" si="106"/>
        <v>28.889538461538461</v>
      </c>
      <c r="S473" s="300">
        <f t="shared" si="107"/>
        <v>5.0981538461538465</v>
      </c>
      <c r="T473" s="300">
        <f t="shared" si="108"/>
        <v>0</v>
      </c>
      <c r="U473" s="307">
        <f t="shared" si="102"/>
        <v>0.52307692307692311</v>
      </c>
      <c r="V473" s="307">
        <f t="shared" si="103"/>
        <v>9.2307692307692313E-2</v>
      </c>
      <c r="W473" s="307">
        <f t="shared" si="104"/>
        <v>0</v>
      </c>
      <c r="X473" s="308" t="str">
        <f t="shared" si="109"/>
        <v>L</v>
      </c>
      <c r="Y473" s="309"/>
      <c r="Z473" s="310">
        <f>(R473+S473+T473)*'1.0-Contractblad'!$L$37</f>
        <v>1032.127124882895</v>
      </c>
      <c r="AA473" s="310">
        <f ca="1">VLOOKUP(E473,'1.2-Jaarprijzen'!$B$51:$Q$88,16,FALSE)*K473</f>
        <v>0</v>
      </c>
      <c r="AC473" s="226">
        <f t="shared" si="110"/>
        <v>11046</v>
      </c>
      <c r="AD473" s="226" t="str">
        <f t="shared" si="111"/>
        <v>7200-200</v>
      </c>
    </row>
    <row r="474" spans="2:30" ht="12.5">
      <c r="B474" s="336"/>
      <c r="C474" s="337"/>
      <c r="D474" s="302">
        <f>VLOOKUP(E474,'1.2-Jaarprijzen'!B:G,6,FALSE)</f>
        <v>1</v>
      </c>
      <c r="E474" s="522" t="s">
        <v>88</v>
      </c>
      <c r="F474" s="302" t="s">
        <v>368</v>
      </c>
      <c r="G474" s="525" t="s">
        <v>384</v>
      </c>
      <c r="H474" s="523" t="s">
        <v>437</v>
      </c>
      <c r="I474" s="303" t="str">
        <f t="shared" si="112"/>
        <v>leslokaal/leerplein</v>
      </c>
      <c r="J474" s="302" t="s">
        <v>218</v>
      </c>
      <c r="K474" s="304">
        <v>17.63</v>
      </c>
      <c r="L474" s="304"/>
      <c r="M474" s="305">
        <v>7200</v>
      </c>
      <c r="N474" s="302"/>
      <c r="O474" s="306">
        <f t="shared" si="105"/>
        <v>200</v>
      </c>
      <c r="P474" s="472">
        <v>1</v>
      </c>
      <c r="Q474" s="472">
        <v>1</v>
      </c>
      <c r="R474" s="300">
        <f t="shared" si="106"/>
        <v>9.2218461538461547</v>
      </c>
      <c r="S474" s="300">
        <f t="shared" si="107"/>
        <v>1.6273846153846154</v>
      </c>
      <c r="T474" s="300">
        <f t="shared" si="108"/>
        <v>0</v>
      </c>
      <c r="U474" s="307">
        <f t="shared" si="102"/>
        <v>0.52307692307692311</v>
      </c>
      <c r="V474" s="307">
        <f t="shared" si="103"/>
        <v>9.2307692307692313E-2</v>
      </c>
      <c r="W474" s="307">
        <f t="shared" si="104"/>
        <v>0</v>
      </c>
      <c r="X474" s="308" t="str">
        <f t="shared" si="109"/>
        <v>L</v>
      </c>
      <c r="Y474" s="309"/>
      <c r="Z474" s="310">
        <f>(R474+S474+T474)*'1.0-Contractblad'!$L$37</f>
        <v>329.46589193708928</v>
      </c>
      <c r="AA474" s="310">
        <f ca="1">VLOOKUP(E474,'1.2-Jaarprijzen'!$B$51:$Q$88,16,FALSE)*K474</f>
        <v>0</v>
      </c>
      <c r="AC474" s="226">
        <f t="shared" si="110"/>
        <v>3526</v>
      </c>
      <c r="AD474" s="226" t="str">
        <f t="shared" si="111"/>
        <v>7200-200</v>
      </c>
    </row>
    <row r="475" spans="2:30" ht="12.5">
      <c r="B475" s="336"/>
      <c r="C475" s="337"/>
      <c r="D475" s="302">
        <f>VLOOKUP(E475,'1.2-Jaarprijzen'!B:G,6,FALSE)</f>
        <v>1</v>
      </c>
      <c r="E475" s="522" t="s">
        <v>88</v>
      </c>
      <c r="F475" s="302" t="s">
        <v>368</v>
      </c>
      <c r="G475" s="525" t="s">
        <v>385</v>
      </c>
      <c r="H475" s="523" t="s">
        <v>532</v>
      </c>
      <c r="I475" s="303" t="str">
        <f t="shared" si="112"/>
        <v>niet van toepassing</v>
      </c>
      <c r="J475" s="302" t="s">
        <v>218</v>
      </c>
      <c r="K475" s="304"/>
      <c r="L475" s="304">
        <v>6.98</v>
      </c>
      <c r="M475" s="305" t="s">
        <v>147</v>
      </c>
      <c r="N475" s="302"/>
      <c r="O475" s="306">
        <f t="shared" si="105"/>
        <v>0</v>
      </c>
      <c r="P475" s="472">
        <v>1</v>
      </c>
      <c r="Q475" s="472">
        <v>1</v>
      </c>
      <c r="R475" s="300">
        <f t="shared" si="106"/>
        <v>0</v>
      </c>
      <c r="S475" s="300">
        <f t="shared" si="107"/>
        <v>0</v>
      </c>
      <c r="T475" s="300">
        <f t="shared" si="108"/>
        <v>0</v>
      </c>
      <c r="U475" s="307">
        <f t="shared" si="102"/>
        <v>0</v>
      </c>
      <c r="V475" s="307">
        <f t="shared" si="103"/>
        <v>0</v>
      </c>
      <c r="W475" s="307">
        <f t="shared" si="104"/>
        <v>0</v>
      </c>
      <c r="X475" s="308">
        <f t="shared" si="109"/>
        <v>0</v>
      </c>
      <c r="Y475" s="309"/>
      <c r="Z475" s="310">
        <f>(R475+S475+T475)*'1.0-Contractblad'!$L$37</f>
        <v>0</v>
      </c>
      <c r="AA475" s="310">
        <f ca="1">VLOOKUP(E475,'1.2-Jaarprijzen'!$B$51:$Q$88,16,FALSE)*K475</f>
        <v>0</v>
      </c>
      <c r="AC475" s="226">
        <f t="shared" si="110"/>
        <v>0</v>
      </c>
      <c r="AD475" s="226" t="str">
        <f t="shared" si="111"/>
        <v>nvt-0</v>
      </c>
    </row>
    <row r="476" spans="2:30" ht="12.5">
      <c r="B476" s="336"/>
      <c r="C476" s="337"/>
      <c r="D476" s="302">
        <f>VLOOKUP(E476,'1.2-Jaarprijzen'!B:G,6,FALSE)</f>
        <v>1</v>
      </c>
      <c r="E476" s="522" t="s">
        <v>88</v>
      </c>
      <c r="F476" s="302" t="s">
        <v>368</v>
      </c>
      <c r="G476" s="525" t="s">
        <v>386</v>
      </c>
      <c r="H476" s="523" t="s">
        <v>220</v>
      </c>
      <c r="I476" s="303" t="str">
        <f t="shared" si="112"/>
        <v>sanitaire ruimte (toilet-/doucheruimte)</v>
      </c>
      <c r="J476" s="302" t="s">
        <v>208</v>
      </c>
      <c r="K476" s="304">
        <v>6.79</v>
      </c>
      <c r="L476" s="304"/>
      <c r="M476" s="305">
        <v>4200</v>
      </c>
      <c r="N476" s="302"/>
      <c r="O476" s="306">
        <f t="shared" si="105"/>
        <v>200</v>
      </c>
      <c r="P476" s="472">
        <v>1</v>
      </c>
      <c r="Q476" s="472">
        <v>1</v>
      </c>
      <c r="R476" s="300">
        <f t="shared" si="106"/>
        <v>18.198013558253191</v>
      </c>
      <c r="S476" s="300">
        <f t="shared" si="107"/>
        <v>3.2114141573387984</v>
      </c>
      <c r="T476" s="300">
        <f t="shared" si="108"/>
        <v>0</v>
      </c>
      <c r="U476" s="307">
        <f t="shared" si="102"/>
        <v>2.6801198171212359</v>
      </c>
      <c r="V476" s="307">
        <f t="shared" si="103"/>
        <v>0.4729623206684534</v>
      </c>
      <c r="W476" s="307">
        <f t="shared" si="104"/>
        <v>0</v>
      </c>
      <c r="X476" s="308" t="str">
        <f t="shared" si="109"/>
        <v>S</v>
      </c>
      <c r="Y476" s="309"/>
      <c r="Z476" s="310">
        <f>(R476+S476+T476)*'1.0-Contractblad'!$L$37</f>
        <v>650.15449926504539</v>
      </c>
      <c r="AA476" s="310">
        <f ca="1">VLOOKUP(E476,'1.2-Jaarprijzen'!$B$51:$Q$88,16,FALSE)*K476</f>
        <v>0</v>
      </c>
      <c r="AC476" s="226">
        <f t="shared" si="110"/>
        <v>1358</v>
      </c>
      <c r="AD476" s="226" t="str">
        <f t="shared" si="111"/>
        <v>4200-200</v>
      </c>
    </row>
    <row r="477" spans="2:30" ht="12.5">
      <c r="B477" s="336"/>
      <c r="C477" s="337"/>
      <c r="D477" s="302">
        <f>VLOOKUP(E477,'1.2-Jaarprijzen'!B:G,6,FALSE)</f>
        <v>1</v>
      </c>
      <c r="E477" s="522" t="s">
        <v>88</v>
      </c>
      <c r="F477" s="302" t="s">
        <v>368</v>
      </c>
      <c r="G477" s="525" t="s">
        <v>387</v>
      </c>
      <c r="H477" s="523" t="s">
        <v>247</v>
      </c>
      <c r="I477" s="303" t="str">
        <f t="shared" si="112"/>
        <v>niet van toepassing</v>
      </c>
      <c r="J477" s="302" t="s">
        <v>208</v>
      </c>
      <c r="K477" s="304"/>
      <c r="L477" s="304">
        <v>1.74</v>
      </c>
      <c r="M477" s="305" t="s">
        <v>147</v>
      </c>
      <c r="N477" s="302"/>
      <c r="O477" s="306">
        <f t="shared" si="105"/>
        <v>0</v>
      </c>
      <c r="P477" s="472">
        <v>1</v>
      </c>
      <c r="Q477" s="472">
        <v>1</v>
      </c>
      <c r="R477" s="300">
        <f t="shared" si="106"/>
        <v>0</v>
      </c>
      <c r="S477" s="300">
        <f t="shared" si="107"/>
        <v>0</v>
      </c>
      <c r="T477" s="300">
        <f t="shared" si="108"/>
        <v>0</v>
      </c>
      <c r="U477" s="307">
        <f t="shared" si="102"/>
        <v>0</v>
      </c>
      <c r="V477" s="307">
        <f t="shared" si="103"/>
        <v>0</v>
      </c>
      <c r="W477" s="307">
        <f t="shared" si="104"/>
        <v>0</v>
      </c>
      <c r="X477" s="308">
        <f t="shared" si="109"/>
        <v>0</v>
      </c>
      <c r="Y477" s="309"/>
      <c r="Z477" s="310">
        <f>(R477+S477+T477)*'1.0-Contractblad'!$L$37</f>
        <v>0</v>
      </c>
      <c r="AA477" s="310">
        <f ca="1">VLOOKUP(E477,'1.2-Jaarprijzen'!$B$51:$Q$88,16,FALSE)*K477</f>
        <v>0</v>
      </c>
      <c r="AC477" s="226">
        <f t="shared" si="110"/>
        <v>0</v>
      </c>
      <c r="AD477" s="226" t="str">
        <f t="shared" si="111"/>
        <v>nvt-0</v>
      </c>
    </row>
    <row r="478" spans="2:30" ht="12.5">
      <c r="B478" s="336"/>
      <c r="C478" s="337"/>
      <c r="D478" s="302">
        <f>VLOOKUP(E478,'1.2-Jaarprijzen'!B:G,6,FALSE)</f>
        <v>1</v>
      </c>
      <c r="E478" s="522" t="s">
        <v>88</v>
      </c>
      <c r="F478" s="302" t="s">
        <v>368</v>
      </c>
      <c r="G478" s="525" t="s">
        <v>388</v>
      </c>
      <c r="H478" s="523" t="s">
        <v>529</v>
      </c>
      <c r="I478" s="303" t="str">
        <f t="shared" si="112"/>
        <v>niet van toepassing</v>
      </c>
      <c r="J478" s="302" t="s">
        <v>208</v>
      </c>
      <c r="K478" s="304"/>
      <c r="L478" s="304">
        <v>3.24</v>
      </c>
      <c r="M478" s="305" t="s">
        <v>147</v>
      </c>
      <c r="N478" s="302"/>
      <c r="O478" s="306">
        <f t="shared" si="105"/>
        <v>0</v>
      </c>
      <c r="P478" s="472">
        <v>1</v>
      </c>
      <c r="Q478" s="472">
        <v>1</v>
      </c>
      <c r="R478" s="300">
        <f t="shared" si="106"/>
        <v>0</v>
      </c>
      <c r="S478" s="300">
        <f t="shared" si="107"/>
        <v>0</v>
      </c>
      <c r="T478" s="300">
        <f t="shared" si="108"/>
        <v>0</v>
      </c>
      <c r="U478" s="307">
        <f t="shared" ref="U478:U481" si="113">IF($M478=0,0,VLOOKUP($M478,Kengetal,6,FALSE))</f>
        <v>0</v>
      </c>
      <c r="V478" s="307">
        <f t="shared" ref="V478:V481" si="114">IF($M478=0,0,VLOOKUP($M478,Kengetal,7,FALSE))</f>
        <v>0</v>
      </c>
      <c r="W478" s="307">
        <f t="shared" ref="W478:W481" si="115">IF($N478=0,0,VLOOKUP($N478,Kengetal,6,FALSE))</f>
        <v>0</v>
      </c>
      <c r="X478" s="308">
        <f t="shared" si="109"/>
        <v>0</v>
      </c>
      <c r="Y478" s="309"/>
      <c r="Z478" s="310">
        <f>(R478+S478+T478)*'1.0-Contractblad'!$L$37</f>
        <v>0</v>
      </c>
      <c r="AA478" s="310">
        <f ca="1">VLOOKUP(E478,'1.2-Jaarprijzen'!$B$51:$Q$88,16,FALSE)*K478</f>
        <v>0</v>
      </c>
      <c r="AC478" s="226">
        <f t="shared" si="110"/>
        <v>0</v>
      </c>
      <c r="AD478" s="226" t="str">
        <f t="shared" si="111"/>
        <v>nvt-0</v>
      </c>
    </row>
    <row r="479" spans="2:30" ht="12.5">
      <c r="B479" s="336"/>
      <c r="C479" s="337"/>
      <c r="D479" s="302">
        <f>VLOOKUP(E479,'1.2-Jaarprijzen'!B:G,6,FALSE)</f>
        <v>1</v>
      </c>
      <c r="E479" s="522" t="s">
        <v>88</v>
      </c>
      <c r="F479" s="302" t="s">
        <v>368</v>
      </c>
      <c r="G479" s="525" t="s">
        <v>389</v>
      </c>
      <c r="H479" s="523" t="s">
        <v>280</v>
      </c>
      <c r="I479" s="303" t="str">
        <f t="shared" si="112"/>
        <v>entree, gang, hal, repro, kopieer, was/droogruimte</v>
      </c>
      <c r="J479" s="302" t="s">
        <v>218</v>
      </c>
      <c r="K479" s="304">
        <v>33.51</v>
      </c>
      <c r="L479" s="304"/>
      <c r="M479" s="305">
        <v>3200</v>
      </c>
      <c r="N479" s="302"/>
      <c r="O479" s="306">
        <f t="shared" si="105"/>
        <v>200</v>
      </c>
      <c r="P479" s="472">
        <v>1</v>
      </c>
      <c r="Q479" s="472">
        <v>1</v>
      </c>
      <c r="R479" s="300">
        <f t="shared" si="106"/>
        <v>12.612756285405993</v>
      </c>
      <c r="S479" s="300">
        <f t="shared" si="107"/>
        <v>3.8043911621740909</v>
      </c>
      <c r="T479" s="300">
        <f t="shared" si="108"/>
        <v>0</v>
      </c>
      <c r="U479" s="307">
        <f t="shared" si="113"/>
        <v>0.37638783304703055</v>
      </c>
      <c r="V479" s="307">
        <f t="shared" si="114"/>
        <v>0.11353002572885977</v>
      </c>
      <c r="W479" s="307">
        <f t="shared" si="115"/>
        <v>0</v>
      </c>
      <c r="X479" s="308" t="str">
        <f t="shared" si="109"/>
        <v>V</v>
      </c>
      <c r="Y479" s="309"/>
      <c r="Z479" s="310">
        <f>(R479+S479+T479)*'1.0-Contractblad'!$L$37</f>
        <v>498.55056472940907</v>
      </c>
      <c r="AA479" s="310">
        <f ca="1">VLOOKUP(E479,'1.2-Jaarprijzen'!$B$51:$Q$88,16,FALSE)*K479</f>
        <v>0</v>
      </c>
      <c r="AC479" s="226">
        <f t="shared" si="110"/>
        <v>6702</v>
      </c>
      <c r="AD479" s="226" t="str">
        <f t="shared" si="111"/>
        <v>3200-200</v>
      </c>
    </row>
    <row r="480" spans="2:30" ht="12.5">
      <c r="B480" s="336"/>
      <c r="C480" s="337"/>
      <c r="D480" s="302">
        <f>VLOOKUP(E480,'1.2-Jaarprijzen'!B:G,6,FALSE)</f>
        <v>1</v>
      </c>
      <c r="E480" s="522" t="s">
        <v>88</v>
      </c>
      <c r="F480" s="302" t="s">
        <v>368</v>
      </c>
      <c r="G480" s="525" t="s">
        <v>390</v>
      </c>
      <c r="H480" s="523" t="s">
        <v>533</v>
      </c>
      <c r="I480" s="303" t="str">
        <f t="shared" si="112"/>
        <v>niet van toepassing</v>
      </c>
      <c r="J480" s="302" t="s">
        <v>218</v>
      </c>
      <c r="K480" s="304"/>
      <c r="L480" s="304">
        <v>2.73</v>
      </c>
      <c r="M480" s="305" t="s">
        <v>147</v>
      </c>
      <c r="N480" s="302"/>
      <c r="O480" s="306">
        <f t="shared" si="105"/>
        <v>0</v>
      </c>
      <c r="P480" s="472">
        <v>1</v>
      </c>
      <c r="Q480" s="472">
        <v>1</v>
      </c>
      <c r="R480" s="300">
        <f t="shared" si="106"/>
        <v>0</v>
      </c>
      <c r="S480" s="300">
        <f t="shared" si="107"/>
        <v>0</v>
      </c>
      <c r="T480" s="300">
        <f t="shared" si="108"/>
        <v>0</v>
      </c>
      <c r="U480" s="307">
        <f t="shared" si="113"/>
        <v>0</v>
      </c>
      <c r="V480" s="307">
        <f t="shared" si="114"/>
        <v>0</v>
      </c>
      <c r="W480" s="307">
        <f t="shared" si="115"/>
        <v>0</v>
      </c>
      <c r="X480" s="308">
        <f t="shared" si="109"/>
        <v>0</v>
      </c>
      <c r="Y480" s="309"/>
      <c r="Z480" s="310">
        <f>(R480+S480+T480)*'1.0-Contractblad'!$L$37</f>
        <v>0</v>
      </c>
      <c r="AA480" s="310">
        <f ca="1">VLOOKUP(E480,'1.2-Jaarprijzen'!$B$51:$Q$88,16,FALSE)*K480</f>
        <v>0</v>
      </c>
      <c r="AC480" s="226">
        <f t="shared" si="110"/>
        <v>0</v>
      </c>
      <c r="AD480" s="226" t="str">
        <f t="shared" si="111"/>
        <v>nvt-0</v>
      </c>
    </row>
    <row r="481" spans="2:30" ht="12.5">
      <c r="B481" s="336"/>
      <c r="C481" s="337"/>
      <c r="D481" s="302">
        <f>VLOOKUP(E481,'1.2-Jaarprijzen'!B:G,6,FALSE)</f>
        <v>1</v>
      </c>
      <c r="E481" s="522" t="s">
        <v>88</v>
      </c>
      <c r="F481" s="302" t="s">
        <v>368</v>
      </c>
      <c r="G481" s="525" t="s">
        <v>391</v>
      </c>
      <c r="H481" s="523" t="s">
        <v>529</v>
      </c>
      <c r="I481" s="303" t="str">
        <f t="shared" si="112"/>
        <v>niet van toepassing</v>
      </c>
      <c r="J481" s="302" t="s">
        <v>218</v>
      </c>
      <c r="K481" s="304"/>
      <c r="L481" s="304">
        <v>1.5</v>
      </c>
      <c r="M481" s="305" t="s">
        <v>147</v>
      </c>
      <c r="N481" s="302"/>
      <c r="O481" s="306">
        <f t="shared" si="105"/>
        <v>0</v>
      </c>
      <c r="P481" s="472">
        <v>1</v>
      </c>
      <c r="Q481" s="472">
        <v>1</v>
      </c>
      <c r="R481" s="300">
        <f t="shared" si="106"/>
        <v>0</v>
      </c>
      <c r="S481" s="300">
        <f t="shared" si="107"/>
        <v>0</v>
      </c>
      <c r="T481" s="300">
        <f t="shared" si="108"/>
        <v>0</v>
      </c>
      <c r="U481" s="307">
        <f t="shared" si="113"/>
        <v>0</v>
      </c>
      <c r="V481" s="307">
        <f t="shared" si="114"/>
        <v>0</v>
      </c>
      <c r="W481" s="307">
        <f t="shared" si="115"/>
        <v>0</v>
      </c>
      <c r="X481" s="308">
        <f t="shared" si="109"/>
        <v>0</v>
      </c>
      <c r="Y481" s="309"/>
      <c r="Z481" s="310">
        <f>(R481+S481+T481)*'1.0-Contractblad'!$L$37</f>
        <v>0</v>
      </c>
      <c r="AA481" s="310">
        <f ca="1">VLOOKUP(E481,'1.2-Jaarprijzen'!$B$51:$Q$88,16,FALSE)*K481</f>
        <v>0</v>
      </c>
      <c r="AC481" s="226">
        <f t="shared" si="110"/>
        <v>0</v>
      </c>
      <c r="AD481" s="226" t="str">
        <f t="shared" si="111"/>
        <v>nvt-0</v>
      </c>
    </row>
  </sheetData>
  <sheetProtection algorithmName="SHA-512" hashValue="1eLUJCVdXmzTXkbVje3p9Nv2ySCaXKh/5vAH5fUFTbTz/yG27W5W7S4SLcgoh17QnThit1F98ukmXqBqSW44Eg==" saltValue="J+aA0CUREC4WV3NPhiFm5Q==" spinCount="100000" sheet="1" objects="1" scenarios="1"/>
  <autoFilter ref="B12:AA238" xr:uid="{00000000-0001-0000-0500-000000000000}">
    <sortState xmlns:xlrd2="http://schemas.microsoft.com/office/spreadsheetml/2017/richdata2" ref="B15:AA238">
      <sortCondition sortBy="cellColor" ref="H12:H238" dxfId="161"/>
    </sortState>
  </autoFilter>
  <sortState xmlns:xlrd2="http://schemas.microsoft.com/office/spreadsheetml/2017/richdata2" ref="A180:AG238">
    <sortCondition ref="G180:G238"/>
  </sortState>
  <phoneticPr fontId="9" type="noConversion"/>
  <conditionalFormatting sqref="B14:C481">
    <cfRule type="notContainsBlanks" dxfId="4" priority="19">
      <formula>LEN(TRIM(B14))&gt;0</formula>
    </cfRule>
  </conditionalFormatting>
  <conditionalFormatting sqref="P14:Q481">
    <cfRule type="cellIs" dxfId="3" priority="211" operator="lessThan">
      <formula>1</formula>
    </cfRule>
    <cfRule type="cellIs" dxfId="2" priority="212" operator="greaterThan">
      <formula>1</formula>
    </cfRule>
  </conditionalFormatting>
  <conditionalFormatting sqref="R9:T9">
    <cfRule type="cellIs" dxfId="1" priority="407" operator="greaterThan">
      <formula>0</formula>
    </cfRule>
  </conditionalFormatting>
  <conditionalFormatting sqref="R14:W481 Z14:AA481">
    <cfRule type="cellIs" dxfId="0" priority="20" operator="greaterThan">
      <formula>0</formula>
    </cfRule>
  </conditionalFormatting>
  <printOptions gridLinesSet="0"/>
  <pageMargins left="0.19685039370078741" right="0.19685039370078741" top="0.39370078740157483" bottom="0.78740157480314965" header="0.39370078740157483" footer="0.39370078740157483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colBreaks count="1" manualBreakCount="1">
    <brk id="17" max="1048575" man="1"/>
  </colBreaks>
  <picture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52-20D2-9249-966E-47B14BFC5C9F}">
  <sheetPr>
    <pageSetUpPr fitToPage="1"/>
  </sheetPr>
  <dimension ref="A1:AG157"/>
  <sheetViews>
    <sheetView showGridLines="0" showRowColHeaders="0" showZeros="0" showOutlineSymbols="0" zoomScale="55" zoomScaleNormal="55" zoomScaleSheetLayoutView="75" workbookViewId="0">
      <pane ySplit="11" topLeftCell="A21" activePane="bottomLeft" state="frozenSplit"/>
      <selection activeCell="E55" sqref="E55"/>
      <selection pane="bottomLeft" activeCell="F9" sqref="F9"/>
    </sheetView>
  </sheetViews>
  <sheetFormatPr defaultColWidth="0" defaultRowHeight="12.5" zeroHeight="1"/>
  <cols>
    <col min="1" max="1" width="7.54296875" style="339" customWidth="1"/>
    <col min="2" max="3" width="13.1796875" style="339" hidden="1" customWidth="1"/>
    <col min="4" max="4" width="18.81640625" style="339" hidden="1" customWidth="1"/>
    <col min="5" max="5" width="40.453125" style="339" customWidth="1"/>
    <col min="6" max="6" width="16.453125" style="339" customWidth="1"/>
    <col min="7" max="7" width="14" style="339" customWidth="1"/>
    <col min="8" max="8" width="3.54296875" style="339" customWidth="1"/>
    <col min="9" max="9" width="10" style="339" customWidth="1"/>
    <col min="10" max="10" width="8.81640625" style="339" customWidth="1"/>
    <col min="11" max="11" width="33" style="339" customWidth="1"/>
    <col min="12" max="12" width="4.54296875" style="339" customWidth="1"/>
    <col min="13" max="13" width="13.1796875" style="339" customWidth="1"/>
    <col min="14" max="15" width="14.81640625" style="339" customWidth="1"/>
    <col min="16" max="16" width="17.54296875" style="339" customWidth="1"/>
    <col min="17" max="17" width="1" style="339" customWidth="1"/>
    <col min="18" max="18" width="14.81640625" style="339" hidden="1" customWidth="1"/>
    <col min="19" max="19" width="1.453125" style="339" customWidth="1"/>
    <col min="20" max="22" width="14.54296875" style="339" customWidth="1"/>
    <col min="23" max="23" width="0.1796875" style="339" customWidth="1"/>
    <col min="24" max="24" width="0.1796875" style="339" hidden="1" customWidth="1"/>
    <col min="25" max="25" width="16" style="339" hidden="1" customWidth="1"/>
    <col min="26" max="26" width="20" style="339" bestFit="1" customWidth="1"/>
    <col min="27" max="33" width="0" style="339" hidden="1" customWidth="1"/>
    <col min="34" max="16384" width="10.54296875" style="339" hidden="1"/>
  </cols>
  <sheetData>
    <row r="1" spans="2:27" s="1" customFormat="1" ht="9" customHeight="1" thickBot="1">
      <c r="B1" s="4"/>
      <c r="C1" s="4"/>
      <c r="D1" s="4"/>
      <c r="E1" s="21"/>
      <c r="F1" s="21"/>
      <c r="G1" s="40"/>
      <c r="H1" s="21"/>
      <c r="I1" s="21"/>
      <c r="J1" s="21"/>
      <c r="K1" s="21"/>
      <c r="L1" s="21"/>
      <c r="M1" s="21"/>
      <c r="N1" s="21"/>
      <c r="O1" s="21"/>
      <c r="P1" s="21"/>
      <c r="Q1" s="21"/>
      <c r="R1" s="88"/>
      <c r="S1" s="21"/>
      <c r="T1" s="87"/>
      <c r="U1" s="87"/>
      <c r="V1" s="87"/>
    </row>
    <row r="2" spans="2:27" s="1" customFormat="1" ht="8.15" customHeight="1">
      <c r="B2" s="4"/>
      <c r="C2" s="4"/>
      <c r="D2" s="4"/>
      <c r="E2" s="90"/>
      <c r="F2" s="90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87"/>
      <c r="U2" s="87"/>
      <c r="V2" s="87"/>
    </row>
    <row r="3" spans="2:27" ht="7.4" customHeight="1">
      <c r="K3" s="340"/>
      <c r="L3" s="341"/>
    </row>
    <row r="4" spans="2:27" ht="15.5">
      <c r="E4" s="342" t="s">
        <v>59</v>
      </c>
      <c r="F4" s="27" t="s">
        <v>534</v>
      </c>
      <c r="G4" s="343"/>
      <c r="H4" s="344"/>
      <c r="I4" s="344"/>
      <c r="J4" s="344"/>
      <c r="K4" s="344"/>
      <c r="L4" s="341"/>
      <c r="N4" s="345"/>
      <c r="O4" s="346"/>
      <c r="P4" s="346"/>
      <c r="Q4" s="346"/>
      <c r="R4" s="346"/>
      <c r="S4" s="347"/>
    </row>
    <row r="5" spans="2:27" ht="15.5">
      <c r="E5" s="190" t="s">
        <v>61</v>
      </c>
      <c r="F5" s="29" t="str">
        <f>Voorblad!$E$17</f>
        <v>Stichting Kolom</v>
      </c>
      <c r="G5" s="348"/>
      <c r="I5" s="344"/>
      <c r="J5" s="344"/>
      <c r="K5" s="344"/>
      <c r="L5" s="341"/>
      <c r="N5" s="345"/>
      <c r="O5" s="346"/>
      <c r="P5" s="346"/>
      <c r="Q5" s="346"/>
      <c r="R5" s="346"/>
      <c r="S5" s="347"/>
    </row>
    <row r="6" spans="2:27" ht="15.5">
      <c r="E6" s="190" t="s">
        <v>62</v>
      </c>
      <c r="F6" s="29" t="str">
        <f>Voorblad!$E$18</f>
        <v>Regio Amsterdam - Haarlem</v>
      </c>
      <c r="G6" s="27"/>
      <c r="H6" s="349"/>
      <c r="I6" s="350"/>
      <c r="J6" s="351"/>
      <c r="K6" s="191"/>
      <c r="L6" s="341"/>
      <c r="M6" s="341"/>
      <c r="P6" s="341"/>
      <c r="Q6" s="341"/>
      <c r="R6" s="341"/>
      <c r="S6" s="341"/>
      <c r="T6" s="341"/>
      <c r="U6" s="341"/>
      <c r="V6" s="341"/>
      <c r="W6" s="341"/>
      <c r="X6" s="341"/>
      <c r="Y6" s="341"/>
    </row>
    <row r="7" spans="2:27" ht="15.5">
      <c r="E7" s="190" t="s">
        <v>63</v>
      </c>
      <c r="F7" s="31" t="str">
        <f>Voorblad!$E$25</f>
        <v>2009-46–2022</v>
      </c>
      <c r="G7" s="352"/>
      <c r="H7" s="349"/>
      <c r="I7" s="350"/>
      <c r="J7" s="351"/>
      <c r="K7" s="198"/>
      <c r="L7" s="341"/>
      <c r="P7" s="341"/>
      <c r="Q7" s="341"/>
      <c r="R7" s="341"/>
      <c r="S7" s="341"/>
      <c r="T7" s="341"/>
      <c r="U7" s="341"/>
      <c r="V7" s="341"/>
      <c r="W7" s="341"/>
      <c r="X7" s="341"/>
      <c r="Y7" s="341"/>
    </row>
    <row r="8" spans="2:27" ht="15.5">
      <c r="E8" s="190" t="s">
        <v>10</v>
      </c>
      <c r="F8" s="32" t="str">
        <f ca="1">Voorblad!$E$27</f>
        <v xml:space="preserve">Bijlage E1 - Calculatiemodel  St Kolom Perceel 1 </v>
      </c>
      <c r="G8" s="352"/>
      <c r="H8" s="353"/>
      <c r="I8" s="350"/>
      <c r="J8" s="351"/>
      <c r="K8" s="198"/>
      <c r="L8" s="341"/>
      <c r="P8" s="341"/>
      <c r="Q8" s="341"/>
      <c r="R8" s="341"/>
      <c r="S8" s="341"/>
      <c r="T8" s="341"/>
      <c r="U8" s="341"/>
      <c r="V8" s="341"/>
      <c r="W8" s="341"/>
      <c r="X8" s="341"/>
      <c r="Y8" s="341"/>
    </row>
    <row r="9" spans="2:27" ht="15.5">
      <c r="E9" s="190" t="s">
        <v>64</v>
      </c>
      <c r="F9" s="79" t="str">
        <f>Voorblad!$E$20</f>
        <v>[Naam organisatie Inschrijver]</v>
      </c>
      <c r="G9" s="350"/>
      <c r="H9" s="353"/>
      <c r="I9" s="350"/>
      <c r="J9" s="351"/>
      <c r="K9" s="198"/>
      <c r="L9" s="341"/>
      <c r="P9" s="341"/>
      <c r="Q9" s="341"/>
      <c r="R9" s="341"/>
      <c r="S9" s="341"/>
      <c r="T9" s="341"/>
      <c r="U9" s="341"/>
      <c r="V9" s="341"/>
      <c r="W9" s="341"/>
      <c r="X9" s="341"/>
      <c r="Y9" s="341"/>
    </row>
    <row r="10" spans="2:27" ht="16" thickBot="1">
      <c r="E10" s="190" t="s">
        <v>65</v>
      </c>
      <c r="F10" s="36">
        <f>Voorblad!$E$23</f>
        <v>45017</v>
      </c>
      <c r="G10" s="550"/>
      <c r="H10" s="353"/>
      <c r="I10" s="350"/>
      <c r="J10" s="351"/>
      <c r="K10" s="19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</row>
    <row r="11" spans="2:27" ht="37" customHeight="1" thickBot="1">
      <c r="E11" s="342"/>
      <c r="F11" s="355"/>
      <c r="G11" s="350"/>
      <c r="H11" s="350"/>
      <c r="M11" s="34"/>
      <c r="N11" s="564" t="s">
        <v>535</v>
      </c>
      <c r="O11" s="564"/>
      <c r="P11" s="564"/>
      <c r="Q11" s="34"/>
      <c r="R11" s="356"/>
      <c r="S11" s="354"/>
      <c r="T11" s="564" t="s">
        <v>536</v>
      </c>
      <c r="U11" s="564"/>
      <c r="V11" s="564"/>
      <c r="W11" s="34"/>
      <c r="X11" s="565" t="s">
        <v>537</v>
      </c>
      <c r="Y11" s="566"/>
    </row>
    <row r="12" spans="2:27" ht="16" hidden="1" customHeight="1">
      <c r="E12" s="342"/>
      <c r="F12" s="36"/>
      <c r="G12" s="350"/>
      <c r="H12" s="350"/>
      <c r="I12" s="350"/>
      <c r="J12" s="351"/>
      <c r="K12" s="34"/>
      <c r="L12" s="34"/>
      <c r="M12" s="34"/>
      <c r="N12" s="34"/>
      <c r="O12" s="34"/>
      <c r="P12" s="34"/>
      <c r="Q12" s="34"/>
      <c r="R12" s="34"/>
      <c r="S12" s="354"/>
      <c r="T12" s="34"/>
      <c r="U12" s="34"/>
      <c r="V12" s="34"/>
      <c r="W12" s="34"/>
      <c r="X12" s="34"/>
      <c r="Y12" s="34"/>
    </row>
    <row r="13" spans="2:27" ht="49.4" customHeight="1">
      <c r="H13" s="357"/>
      <c r="I13" s="357"/>
      <c r="J13" s="351"/>
      <c r="K13" s="358"/>
      <c r="L13" s="111"/>
      <c r="M13" s="346"/>
      <c r="N13" s="432" t="s">
        <v>538</v>
      </c>
      <c r="O13" s="432" t="s">
        <v>539</v>
      </c>
      <c r="P13" s="432" t="s">
        <v>540</v>
      </c>
      <c r="Q13" s="34"/>
      <c r="R13" s="359" t="s">
        <v>540</v>
      </c>
      <c r="S13" s="354"/>
      <c r="T13" s="432" t="s">
        <v>541</v>
      </c>
      <c r="U13" s="432" t="s">
        <v>540</v>
      </c>
      <c r="V13" s="432" t="s">
        <v>540</v>
      </c>
      <c r="W13" s="34"/>
      <c r="X13" s="359" t="s">
        <v>540</v>
      </c>
      <c r="Y13" s="359" t="s">
        <v>540</v>
      </c>
    </row>
    <row r="14" spans="2:27" ht="8.15" customHeight="1">
      <c r="H14" s="357"/>
      <c r="I14" s="357"/>
      <c r="J14" s="351"/>
      <c r="K14" s="358"/>
      <c r="L14" s="111"/>
      <c r="M14" s="111"/>
      <c r="N14" s="111"/>
      <c r="O14" s="111"/>
      <c r="P14" s="111"/>
      <c r="Q14" s="34"/>
      <c r="R14" s="111"/>
      <c r="S14" s="354"/>
      <c r="T14" s="111"/>
      <c r="U14" s="111"/>
      <c r="V14" s="111"/>
      <c r="W14" s="34"/>
      <c r="X14" s="111"/>
      <c r="Y14" s="111"/>
    </row>
    <row r="15" spans="2:27" s="346" customFormat="1" ht="44.15" customHeight="1">
      <c r="E15" s="339"/>
      <c r="H15" s="360"/>
      <c r="I15" s="360"/>
      <c r="J15" s="361"/>
      <c r="K15" s="362"/>
      <c r="L15" s="363"/>
      <c r="M15" s="362"/>
      <c r="N15" s="433">
        <v>2</v>
      </c>
      <c r="O15" s="433">
        <v>3</v>
      </c>
      <c r="P15" s="433" t="s">
        <v>542</v>
      </c>
      <c r="Q15" s="34"/>
      <c r="R15" s="364" t="s">
        <v>542</v>
      </c>
      <c r="S15" s="354"/>
      <c r="T15" s="433">
        <v>4</v>
      </c>
      <c r="U15" s="433" t="s">
        <v>542</v>
      </c>
      <c r="V15" s="433" t="s">
        <v>542</v>
      </c>
      <c r="W15" s="34"/>
      <c r="X15" s="364" t="s">
        <v>542</v>
      </c>
      <c r="Y15" s="364" t="s">
        <v>542</v>
      </c>
      <c r="Z15" s="339"/>
      <c r="AA15" s="365"/>
    </row>
    <row r="16" spans="2:27" hidden="1">
      <c r="B16" s="346"/>
      <c r="C16" s="346"/>
      <c r="D16" s="346"/>
      <c r="F16" s="366"/>
      <c r="G16" s="366"/>
      <c r="H16" s="366"/>
      <c r="I16" s="366"/>
      <c r="J16" s="366"/>
      <c r="K16" s="367"/>
      <c r="L16" s="368"/>
      <c r="M16" s="369" t="s">
        <v>31</v>
      </c>
      <c r="N16" s="370" t="str">
        <f>IF(N17=0,"Selecteer cel",CONCATENATE(N13," Dienstjaar ",N15))</f>
        <v>Lngr 1 : Vakvolwassen Dienstjaar 2</v>
      </c>
      <c r="O16" s="370" t="str">
        <f>IF(O17=0,"Selecteer cel",CONCATENATE(O13," Dienstjaar ",O15))</f>
        <v>Lngr 2 : Vakvolwassen Dienstjaar 3</v>
      </c>
      <c r="P16" s="370" t="str">
        <f>IF(P17=0,"Selecteer cel",CONCATENATE(P13," Dienstjaar ",P15))</f>
        <v>Selecteer cel</v>
      </c>
      <c r="Q16" s="34"/>
      <c r="R16" s="370" t="str">
        <f>IF(R17=0,"Selecteer cel",CONCATENATE(R13," Dienstjaar ",R15))</f>
        <v>Selecteer cel</v>
      </c>
      <c r="S16" s="369" t="s">
        <v>35</v>
      </c>
      <c r="T16" s="370" t="str">
        <f>IF(T17=0,"Selecteer cel",CONCATENATE(T13," Dienstjaar ",T15))</f>
        <v>Lngr 5 : Vakvolwassen Dienstjaar 4</v>
      </c>
      <c r="U16" s="370" t="str">
        <f>IF(U17=0,"Selecteer cel",CONCATENATE(U13," Dienstjaar ",U15))</f>
        <v>Selecteer cel</v>
      </c>
      <c r="V16" s="370" t="str">
        <f>IF(V17=0,"Selecteer cel",CONCATENATE(V13," Dienstjaar ",V15))</f>
        <v>Selecteer cel</v>
      </c>
      <c r="W16" s="369" t="s">
        <v>543</v>
      </c>
      <c r="X16" s="370" t="str">
        <f>IF(X17=0,"Selecteer cel",CONCATENATE(X13," Dienstjaar ",X15))</f>
        <v>Selecteer cel</v>
      </c>
      <c r="Y16" s="370" t="str">
        <f>IF(Y17=0,"Selecteer cel",CONCATENATE(Y13," Dienstjaar ",Y15))</f>
        <v>Selecteer cel</v>
      </c>
      <c r="AA16" s="371"/>
    </row>
    <row r="17" spans="2:25" ht="15.5">
      <c r="B17" s="346"/>
      <c r="C17" s="346"/>
      <c r="D17" s="346"/>
      <c r="E17" s="372" t="s">
        <v>544</v>
      </c>
      <c r="G17" s="373" t="s">
        <v>545</v>
      </c>
      <c r="H17" s="374"/>
      <c r="I17" s="351"/>
      <c r="J17" s="375"/>
      <c r="K17" s="363"/>
      <c r="L17" s="376"/>
      <c r="M17" s="143"/>
      <c r="N17" s="473">
        <v>13.05</v>
      </c>
      <c r="O17" s="473">
        <v>14.14</v>
      </c>
      <c r="P17" s="473"/>
      <c r="Q17" s="34"/>
      <c r="R17" s="33"/>
      <c r="S17" s="377"/>
      <c r="T17" s="473">
        <v>16.64</v>
      </c>
      <c r="U17" s="473"/>
      <c r="V17" s="473"/>
      <c r="W17" s="34"/>
      <c r="X17" s="33"/>
      <c r="Y17" s="33"/>
    </row>
    <row r="18" spans="2:25" ht="13" hidden="1">
      <c r="B18" s="346"/>
      <c r="C18" s="346"/>
      <c r="D18" s="346"/>
      <c r="G18" s="378">
        <f>IF(F18="x",F83,0)</f>
        <v>0</v>
      </c>
      <c r="H18" s="374"/>
      <c r="I18" s="351"/>
      <c r="J18" s="375"/>
      <c r="K18" s="363"/>
      <c r="L18" s="379"/>
      <c r="M18" s="111"/>
      <c r="N18" s="111">
        <v>0</v>
      </c>
      <c r="O18" s="111"/>
      <c r="P18" s="111"/>
      <c r="Q18" s="34"/>
      <c r="R18" s="111"/>
      <c r="S18" s="111"/>
      <c r="T18" s="111"/>
      <c r="U18" s="111"/>
      <c r="V18" s="111"/>
      <c r="W18" s="111"/>
      <c r="X18" s="111"/>
      <c r="Y18" s="111"/>
    </row>
    <row r="19" spans="2:25" ht="13">
      <c r="B19" s="346"/>
      <c r="C19" s="346"/>
      <c r="D19" s="346"/>
      <c r="E19" s="34" t="s">
        <v>546</v>
      </c>
      <c r="G19" s="475">
        <v>3.8899999999999997E-2</v>
      </c>
      <c r="H19" s="380"/>
      <c r="I19" s="351"/>
      <c r="J19" s="375"/>
      <c r="K19" s="363"/>
      <c r="L19" s="376"/>
      <c r="M19" s="111"/>
      <c r="N19" s="111"/>
      <c r="O19" s="111"/>
      <c r="P19" s="111"/>
      <c r="Q19" s="34"/>
      <c r="R19" s="111"/>
      <c r="S19" s="111"/>
      <c r="T19" s="111"/>
      <c r="U19" s="111"/>
      <c r="V19" s="111"/>
      <c r="W19" s="111"/>
      <c r="X19" s="111"/>
      <c r="Y19" s="111"/>
    </row>
    <row r="20" spans="2:25" ht="14">
      <c r="B20" s="346"/>
      <c r="C20" s="346"/>
      <c r="D20" s="346"/>
      <c r="E20" s="381" t="s">
        <v>547</v>
      </c>
      <c r="G20" s="475">
        <v>2.5399999999999999E-2</v>
      </c>
      <c r="H20" s="374"/>
      <c r="I20" s="351"/>
      <c r="J20" s="375"/>
      <c r="K20" s="358"/>
      <c r="L20" s="358"/>
      <c r="M20" s="382" t="s">
        <v>548</v>
      </c>
      <c r="N20" s="358"/>
      <c r="O20" s="358"/>
      <c r="P20" s="358"/>
      <c r="Q20" s="34"/>
      <c r="R20" s="358"/>
      <c r="S20" s="354"/>
      <c r="T20" s="383"/>
      <c r="U20" s="358"/>
      <c r="V20" s="358"/>
      <c r="W20" s="34"/>
      <c r="X20" s="358"/>
      <c r="Y20" s="358"/>
    </row>
    <row r="21" spans="2:25" ht="14">
      <c r="B21" s="346"/>
      <c r="C21" s="346"/>
      <c r="D21" s="346"/>
      <c r="E21" s="34" t="s">
        <v>549</v>
      </c>
      <c r="G21" s="502">
        <v>1.0999999999999999E-2</v>
      </c>
      <c r="H21" s="374" t="s">
        <v>550</v>
      </c>
      <c r="I21" s="351"/>
      <c r="J21" s="375"/>
      <c r="K21" s="111"/>
      <c r="L21" s="384" t="s">
        <v>551</v>
      </c>
      <c r="M21" s="382"/>
      <c r="N21" s="473"/>
      <c r="O21" s="473"/>
      <c r="P21" s="473"/>
      <c r="Q21" s="34"/>
      <c r="R21" s="35">
        <v>0</v>
      </c>
      <c r="S21" s="354"/>
      <c r="T21" s="473"/>
      <c r="U21" s="473"/>
      <c r="V21" s="473"/>
      <c r="W21" s="34"/>
      <c r="X21" s="35">
        <v>0</v>
      </c>
      <c r="Y21" s="35">
        <v>0</v>
      </c>
    </row>
    <row r="22" spans="2:25" ht="14">
      <c r="B22" s="346"/>
      <c r="C22" s="346"/>
      <c r="D22" s="346"/>
      <c r="E22" s="385" t="s">
        <v>552</v>
      </c>
      <c r="G22" s="504">
        <f>SUM(G18:G21)</f>
        <v>7.5299999999999992E-2</v>
      </c>
      <c r="H22" s="374"/>
      <c r="I22" s="351"/>
      <c r="J22" s="375"/>
      <c r="K22" s="358"/>
      <c r="L22" s="386" t="s">
        <v>553</v>
      </c>
      <c r="M22" s="382"/>
      <c r="N22" s="473"/>
      <c r="O22" s="473"/>
      <c r="P22" s="473"/>
      <c r="Q22" s="34"/>
      <c r="R22" s="35">
        <v>0</v>
      </c>
      <c r="S22" s="354"/>
      <c r="T22" s="473"/>
      <c r="U22" s="473"/>
      <c r="V22" s="473"/>
      <c r="W22" s="34"/>
      <c r="X22" s="35">
        <v>0</v>
      </c>
      <c r="Y22" s="35">
        <v>0</v>
      </c>
    </row>
    <row r="23" spans="2:25" ht="14">
      <c r="B23" s="346"/>
      <c r="C23" s="346"/>
      <c r="D23" s="346"/>
      <c r="G23" s="387"/>
      <c r="H23" s="380"/>
      <c r="I23" s="387"/>
      <c r="J23" s="375"/>
      <c r="K23" s="358"/>
      <c r="L23" s="386" t="s">
        <v>554</v>
      </c>
      <c r="M23" s="382"/>
      <c r="N23" s="473"/>
      <c r="O23" s="473"/>
      <c r="P23" s="473"/>
      <c r="Q23" s="34"/>
      <c r="R23" s="35">
        <v>0</v>
      </c>
      <c r="S23" s="354"/>
      <c r="T23" s="473"/>
      <c r="U23" s="473"/>
      <c r="V23" s="473"/>
      <c r="W23" s="34"/>
      <c r="X23" s="35">
        <v>0</v>
      </c>
      <c r="Y23" s="35">
        <v>0</v>
      </c>
    </row>
    <row r="24" spans="2:25" ht="19" customHeight="1">
      <c r="B24" s="346"/>
      <c r="C24" s="346"/>
      <c r="D24" s="346"/>
      <c r="E24" s="312" t="s">
        <v>555</v>
      </c>
      <c r="I24" s="351"/>
      <c r="J24" s="375"/>
      <c r="K24" s="358"/>
      <c r="L24" s="386" t="s">
        <v>556</v>
      </c>
      <c r="M24" s="536">
        <v>4.7500000000000001E-2</v>
      </c>
      <c r="N24" s="388">
        <f>N17*$M$24</f>
        <v>0.61987500000000006</v>
      </c>
      <c r="O24" s="388">
        <f>O17*$M$24</f>
        <v>0.67165000000000008</v>
      </c>
      <c r="P24" s="388">
        <f>P17*$M$24</f>
        <v>0</v>
      </c>
      <c r="Q24" s="34"/>
      <c r="R24" s="388">
        <f>R17*$M$24</f>
        <v>0</v>
      </c>
      <c r="S24" s="354"/>
      <c r="T24" s="388">
        <f>T17*$M$24</f>
        <v>0.79039999999999999</v>
      </c>
      <c r="U24" s="388">
        <f>U17*$M$24</f>
        <v>0</v>
      </c>
      <c r="V24" s="388">
        <f>V17*$M$24</f>
        <v>0</v>
      </c>
      <c r="W24" s="34"/>
      <c r="X24" s="388">
        <f>X17*$M$24</f>
        <v>0</v>
      </c>
      <c r="Y24" s="388">
        <f>Y17*$M$24</f>
        <v>0</v>
      </c>
    </row>
    <row r="25" spans="2:25" ht="18" customHeight="1">
      <c r="B25" s="346"/>
      <c r="C25" s="346"/>
      <c r="D25" s="346"/>
      <c r="E25" s="312" t="s">
        <v>557</v>
      </c>
      <c r="F25" s="389"/>
      <c r="G25" s="501">
        <v>7.1099999999999997E-2</v>
      </c>
      <c r="H25" s="374"/>
      <c r="I25" s="351"/>
      <c r="J25" s="375"/>
      <c r="K25" s="358"/>
      <c r="L25" s="386"/>
      <c r="M25" s="390"/>
      <c r="N25" s="391"/>
      <c r="O25" s="391"/>
      <c r="P25" s="391"/>
      <c r="Q25" s="34"/>
      <c r="R25" s="358"/>
      <c r="S25" s="358"/>
      <c r="T25" s="358"/>
      <c r="U25" s="358"/>
      <c r="V25" s="358"/>
      <c r="W25" s="34"/>
      <c r="X25" s="358"/>
      <c r="Y25" s="358"/>
    </row>
    <row r="26" spans="2:25" ht="13">
      <c r="B26" s="346"/>
      <c r="C26" s="346"/>
      <c r="D26" s="346"/>
      <c r="E26" s="339" t="s">
        <v>558</v>
      </c>
      <c r="G26" s="474">
        <v>6.6799999999999998E-2</v>
      </c>
      <c r="H26" s="374"/>
      <c r="I26" s="351"/>
      <c r="J26" s="375"/>
      <c r="K26" s="375"/>
      <c r="L26" s="386"/>
      <c r="M26" s="390"/>
      <c r="N26" s="358"/>
      <c r="O26" s="358"/>
      <c r="P26" s="358"/>
      <c r="Q26" s="34"/>
      <c r="R26" s="358"/>
      <c r="S26" s="358"/>
      <c r="T26" s="358"/>
      <c r="U26" s="358"/>
      <c r="V26" s="358"/>
      <c r="W26" s="34"/>
      <c r="X26" s="358"/>
      <c r="Y26" s="358"/>
    </row>
    <row r="27" spans="2:25" ht="13">
      <c r="B27" s="346"/>
      <c r="C27" s="346"/>
      <c r="D27" s="346"/>
      <c r="E27" s="381" t="s">
        <v>559</v>
      </c>
      <c r="G27" s="499">
        <f>G43</f>
        <v>6.1568339882170753E-2</v>
      </c>
      <c r="H27" s="374"/>
      <c r="I27" s="351"/>
      <c r="J27" s="375"/>
      <c r="K27" s="358"/>
      <c r="L27" s="375" t="s">
        <v>560</v>
      </c>
      <c r="M27" s="382"/>
      <c r="N27" s="392">
        <f>SUM(N17:N25)</f>
        <v>13.669875000000001</v>
      </c>
      <c r="O27" s="392">
        <f>SUM(O17:O25)</f>
        <v>14.81165</v>
      </c>
      <c r="P27" s="392">
        <f>SUM(P17:P25)</f>
        <v>0</v>
      </c>
      <c r="Q27" s="34"/>
      <c r="R27" s="392">
        <f>SUM(R17:R25)</f>
        <v>0</v>
      </c>
      <c r="S27" s="392"/>
      <c r="T27" s="392">
        <f>SUM(T17:T25)</f>
        <v>17.430399999999999</v>
      </c>
      <c r="U27" s="392">
        <f>SUM(U17:U25)</f>
        <v>0</v>
      </c>
      <c r="V27" s="392">
        <f>SUM(V17:V25)</f>
        <v>0</v>
      </c>
      <c r="W27" s="34"/>
      <c r="X27" s="392">
        <f>SUM(X17:X25)</f>
        <v>0</v>
      </c>
      <c r="Y27" s="392">
        <f>SUM(Y17:Y25)</f>
        <v>0</v>
      </c>
    </row>
    <row r="28" spans="2:25" ht="13">
      <c r="E28" s="381" t="s">
        <v>561</v>
      </c>
      <c r="G28" s="475">
        <v>1.0999999999999999E-2</v>
      </c>
      <c r="H28" s="374"/>
      <c r="I28" s="351"/>
      <c r="J28" s="375"/>
      <c r="K28" s="358"/>
      <c r="L28" s="111"/>
      <c r="M28" s="393"/>
      <c r="N28" s="358"/>
      <c r="O28" s="358"/>
      <c r="P28" s="358"/>
      <c r="Q28" s="34"/>
      <c r="R28" s="358"/>
      <c r="S28" s="358"/>
      <c r="T28" s="358"/>
      <c r="U28" s="358"/>
      <c r="V28" s="358"/>
      <c r="W28" s="34"/>
      <c r="X28" s="358"/>
      <c r="Y28" s="358"/>
    </row>
    <row r="29" spans="2:25" ht="13">
      <c r="E29" s="381" t="s">
        <v>562</v>
      </c>
      <c r="H29" s="374"/>
      <c r="I29" s="351"/>
      <c r="J29" s="375"/>
      <c r="K29" s="358"/>
      <c r="L29" s="386" t="s">
        <v>563</v>
      </c>
      <c r="M29" s="481">
        <v>0.08</v>
      </c>
      <c r="N29" s="388">
        <f>N27*$M$29</f>
        <v>1.0935900000000001</v>
      </c>
      <c r="O29" s="388">
        <f>O27*$M$29</f>
        <v>1.1849320000000001</v>
      </c>
      <c r="P29" s="388">
        <f>P27*$M$29</f>
        <v>0</v>
      </c>
      <c r="Q29" s="34"/>
      <c r="R29" s="388">
        <f>R27*$M$29</f>
        <v>0</v>
      </c>
      <c r="S29" s="388"/>
      <c r="T29" s="388">
        <f>T27*$M$29</f>
        <v>1.3944319999999999</v>
      </c>
      <c r="U29" s="388">
        <f>U27*$M$29</f>
        <v>0</v>
      </c>
      <c r="V29" s="388">
        <f>V27*$M$29</f>
        <v>0</v>
      </c>
      <c r="W29" s="34"/>
      <c r="X29" s="388">
        <f>X27*$M$29</f>
        <v>0</v>
      </c>
      <c r="Y29" s="388">
        <f>Y27*$M$29</f>
        <v>0</v>
      </c>
    </row>
    <row r="30" spans="2:25" ht="13">
      <c r="E30" s="381" t="s">
        <v>564</v>
      </c>
      <c r="G30" s="502">
        <v>5.0000000000000001E-3</v>
      </c>
      <c r="H30" s="374"/>
      <c r="I30" s="351"/>
      <c r="J30" s="375"/>
      <c r="K30" s="358"/>
      <c r="L30" s="111"/>
      <c r="M30" s="393"/>
      <c r="N30" s="358"/>
      <c r="O30" s="358"/>
      <c r="P30" s="358"/>
      <c r="Q30" s="34"/>
      <c r="R30" s="358"/>
      <c r="S30" s="358"/>
      <c r="T30" s="358"/>
      <c r="U30" s="358"/>
      <c r="V30" s="358"/>
      <c r="W30" s="34"/>
      <c r="X30" s="358"/>
      <c r="Y30" s="358"/>
    </row>
    <row r="31" spans="2:25" ht="13">
      <c r="E31" s="381" t="s">
        <v>565</v>
      </c>
      <c r="G31" s="506">
        <v>1.0500000000000001E-2</v>
      </c>
      <c r="H31" s="374"/>
      <c r="I31" s="351"/>
      <c r="J31" s="375"/>
      <c r="K31" s="358"/>
      <c r="L31" s="375" t="s">
        <v>566</v>
      </c>
      <c r="M31" s="382"/>
      <c r="N31" s="392">
        <f>SUM(N27:N29)</f>
        <v>14.763465000000002</v>
      </c>
      <c r="O31" s="392">
        <f>SUM(O27:O29)</f>
        <v>15.996582</v>
      </c>
      <c r="P31" s="392">
        <f>SUM(P27:P29)</f>
        <v>0</v>
      </c>
      <c r="Q31" s="34"/>
      <c r="R31" s="392">
        <f>SUM(R27:R29)</f>
        <v>0</v>
      </c>
      <c r="S31" s="392"/>
      <c r="T31" s="392">
        <f>SUM(T27:T29)</f>
        <v>18.824831999999997</v>
      </c>
      <c r="U31" s="392">
        <f>SUM(U27:U29)</f>
        <v>0</v>
      </c>
      <c r="V31" s="392">
        <f>SUM(V27:V29)</f>
        <v>0</v>
      </c>
      <c r="W31" s="34"/>
      <c r="X31" s="392">
        <f>SUM(X27:X29)</f>
        <v>0</v>
      </c>
      <c r="Y31" s="392">
        <f>SUM(Y27:Y29)</f>
        <v>0</v>
      </c>
    </row>
    <row r="32" spans="2:25" ht="13">
      <c r="E32" s="381"/>
      <c r="G32" s="394"/>
      <c r="H32" s="374" t="s">
        <v>550</v>
      </c>
      <c r="I32" s="351"/>
      <c r="J32" s="375"/>
      <c r="K32" s="358"/>
      <c r="L32" s="111"/>
      <c r="M32" s="393"/>
      <c r="N32" s="358"/>
      <c r="O32" s="358"/>
      <c r="P32" s="358"/>
      <c r="Q32" s="34"/>
      <c r="R32" s="358"/>
      <c r="S32" s="358"/>
      <c r="T32" s="358"/>
      <c r="U32" s="358"/>
      <c r="V32" s="358"/>
      <c r="W32" s="34"/>
      <c r="X32" s="358"/>
      <c r="Y32" s="358"/>
    </row>
    <row r="33" spans="5:25" ht="13">
      <c r="E33" s="375"/>
      <c r="F33" s="375" t="s">
        <v>567</v>
      </c>
      <c r="G33" s="507">
        <f>SUM(G22:G32)</f>
        <v>0.30126833988217078</v>
      </c>
      <c r="H33" s="374"/>
      <c r="I33" s="351"/>
      <c r="J33" s="375"/>
      <c r="K33" s="358"/>
      <c r="L33" s="395" t="s">
        <v>568</v>
      </c>
      <c r="M33" s="382"/>
      <c r="N33" s="396">
        <f>N31*0.995</f>
        <v>14.689647675000002</v>
      </c>
      <c r="O33" s="396">
        <f>O31*0.995</f>
        <v>15.91659909</v>
      </c>
      <c r="P33" s="396">
        <f>P31*0.995</f>
        <v>0</v>
      </c>
      <c r="Q33" s="34"/>
      <c r="R33" s="396">
        <f>R31*0.995</f>
        <v>0</v>
      </c>
      <c r="S33" s="396"/>
      <c r="T33" s="396">
        <f>T31*0.995</f>
        <v>18.730707839999997</v>
      </c>
      <c r="U33" s="396">
        <f>U31*0.995</f>
        <v>0</v>
      </c>
      <c r="V33" s="396">
        <f>V31*0.995</f>
        <v>0</v>
      </c>
      <c r="W33" s="34"/>
      <c r="X33" s="396">
        <f>X31*0.995</f>
        <v>0</v>
      </c>
      <c r="Y33" s="396">
        <f>Y31*0.995</f>
        <v>0</v>
      </c>
    </row>
    <row r="34" spans="5:25" ht="13">
      <c r="H34" s="380"/>
      <c r="I34" s="351"/>
      <c r="J34" s="375"/>
      <c r="K34" s="358"/>
      <c r="L34" s="386" t="s">
        <v>569</v>
      </c>
      <c r="M34" s="480">
        <f>G33</f>
        <v>0.30126833988217078</v>
      </c>
      <c r="N34" s="388">
        <f>IF(N33=0,0,N33*'1.5-Opbouw uurtarieven'!$G$33)</f>
        <v>4.4255257685012399</v>
      </c>
      <c r="O34" s="388">
        <f>IF(O33=0,0,O33*'1.5-Opbouw uurtarieven'!$G$33)</f>
        <v>4.7951673844143698</v>
      </c>
      <c r="P34" s="388">
        <f>IF(P33=0,0,P33*'1.5-Opbouw uurtarieven'!$G$33)</f>
        <v>0</v>
      </c>
      <c r="Q34" s="34"/>
      <c r="R34" s="388">
        <f>IF(R33=0,0,R33*'1.5-Opbouw uurtarieven'!$G$33)</f>
        <v>0</v>
      </c>
      <c r="S34" s="388"/>
      <c r="T34" s="388">
        <f>IF(T33=0,0,T33*'1.5-Opbouw uurtarieven'!$G$33)</f>
        <v>5.6429692557747604</v>
      </c>
      <c r="U34" s="388">
        <f>IF(U33=0,0,U33*'1.5-Opbouw uurtarieven'!$G$33)</f>
        <v>0</v>
      </c>
      <c r="V34" s="388">
        <f>IF(V33=0,0,V33*'1.5-Opbouw uurtarieven'!$G$33)</f>
        <v>0</v>
      </c>
      <c r="W34" s="34"/>
      <c r="X34" s="388">
        <f>IF(X33=0,0,X33*'1.5-Opbouw uurtarieven'!$G$33)</f>
        <v>0</v>
      </c>
      <c r="Y34" s="388">
        <f>IF(Y33=0,0,Y33*'1.5-Opbouw uurtarieven'!$G$33)</f>
        <v>0</v>
      </c>
    </row>
    <row r="35" spans="5:25" ht="15.5">
      <c r="E35" s="372" t="s">
        <v>570</v>
      </c>
      <c r="F35" s="357"/>
      <c r="G35" s="397"/>
      <c r="H35" s="374"/>
      <c r="I35" s="351"/>
      <c r="J35" s="375"/>
      <c r="K35" s="358"/>
      <c r="L35" s="111"/>
      <c r="M35" s="398"/>
      <c r="N35" s="358"/>
      <c r="O35" s="358"/>
      <c r="P35" s="358"/>
      <c r="Q35" s="34"/>
      <c r="R35" s="358"/>
      <c r="S35" s="358"/>
      <c r="T35" s="358"/>
      <c r="U35" s="358"/>
      <c r="V35" s="358"/>
      <c r="W35" s="34"/>
      <c r="X35" s="358"/>
      <c r="Y35" s="358"/>
    </row>
    <row r="36" spans="5:25" ht="13">
      <c r="E36" s="374"/>
      <c r="F36" s="374"/>
      <c r="G36" s="399"/>
      <c r="H36" s="374"/>
      <c r="I36" s="351"/>
      <c r="J36" s="375"/>
      <c r="K36" s="358"/>
      <c r="L36" s="375" t="s">
        <v>571</v>
      </c>
      <c r="M36" s="400"/>
      <c r="N36" s="392">
        <f>N34+N31</f>
        <v>19.188990768501242</v>
      </c>
      <c r="O36" s="392">
        <f>O34+O31</f>
        <v>20.79174938441437</v>
      </c>
      <c r="P36" s="392">
        <f>P34+P31</f>
        <v>0</v>
      </c>
      <c r="Q36" s="34"/>
      <c r="R36" s="392">
        <f>R34+R31</f>
        <v>0</v>
      </c>
      <c r="S36" s="392"/>
      <c r="T36" s="392">
        <f>T34+T31</f>
        <v>24.467801255774759</v>
      </c>
      <c r="U36" s="392">
        <f>U34+U31</f>
        <v>0</v>
      </c>
      <c r="V36" s="392">
        <f>V34+V31</f>
        <v>0</v>
      </c>
      <c r="W36" s="34"/>
      <c r="X36" s="392">
        <f>X34+X31</f>
        <v>0</v>
      </c>
      <c r="Y36" s="392">
        <f>Y34+Y31</f>
        <v>0</v>
      </c>
    </row>
    <row r="37" spans="5:25" ht="13">
      <c r="E37" s="374"/>
      <c r="F37" s="374"/>
      <c r="G37" s="373" t="s">
        <v>572</v>
      </c>
      <c r="H37" s="374"/>
      <c r="I37" s="351"/>
      <c r="J37" s="375"/>
      <c r="K37" s="358"/>
      <c r="L37" s="111"/>
      <c r="M37" s="398"/>
      <c r="N37" s="358"/>
      <c r="O37" s="358"/>
      <c r="P37" s="358"/>
      <c r="Q37" s="34"/>
      <c r="R37" s="358"/>
      <c r="S37" s="358"/>
      <c r="T37" s="358"/>
      <c r="U37" s="358"/>
      <c r="V37" s="358"/>
      <c r="W37" s="34"/>
      <c r="X37" s="358"/>
      <c r="Y37" s="358"/>
    </row>
    <row r="38" spans="5:25" ht="13">
      <c r="E38" s="339" t="s">
        <v>573</v>
      </c>
      <c r="G38" s="500">
        <f>O79</f>
        <v>15.473570593211011</v>
      </c>
      <c r="H38" s="374"/>
      <c r="I38" s="351"/>
      <c r="J38" s="375"/>
      <c r="K38" s="358"/>
      <c r="L38" s="386" t="s">
        <v>574</v>
      </c>
      <c r="M38" s="480">
        <f>$G$63</f>
        <v>0.22997172478793593</v>
      </c>
      <c r="N38" s="388">
        <f>N36*'1.5-Opbouw uurtarieven'!$G$63</f>
        <v>4.4129253039720107</v>
      </c>
      <c r="O38" s="388">
        <f>O36*'1.5-Opbouw uurtarieven'!$G$63</f>
        <v>4.7815144672922774</v>
      </c>
      <c r="P38" s="388">
        <f>P36*'1.5-Opbouw uurtarieven'!$G$63</f>
        <v>0</v>
      </c>
      <c r="Q38" s="34"/>
      <c r="R38" s="388">
        <f>R36*'1.5-Opbouw uurtarieven'!$G$63</f>
        <v>0</v>
      </c>
      <c r="S38" s="388"/>
      <c r="T38" s="388">
        <f>T36*'1.5-Opbouw uurtarieven'!$G$63</f>
        <v>5.6269024565589456</v>
      </c>
      <c r="U38" s="388">
        <f>U36*'1.5-Opbouw uurtarieven'!$G$63</f>
        <v>0</v>
      </c>
      <c r="V38" s="388">
        <f>V36*'1.5-Opbouw uurtarieven'!$G$63</f>
        <v>0</v>
      </c>
      <c r="W38" s="34"/>
      <c r="X38" s="388">
        <f>X36*'1.5-Opbouw uurtarieven'!$G$63</f>
        <v>0</v>
      </c>
      <c r="Y38" s="388">
        <f>Y36*'1.5-Opbouw uurtarieven'!$G$63</f>
        <v>0</v>
      </c>
    </row>
    <row r="39" spans="5:25" ht="13">
      <c r="E39" s="339" t="s">
        <v>575</v>
      </c>
      <c r="F39" s="401"/>
      <c r="G39" s="503">
        <v>6.57</v>
      </c>
      <c r="H39" s="508" t="s">
        <v>200</v>
      </c>
      <c r="I39" s="402"/>
      <c r="J39" s="375"/>
      <c r="K39" s="358"/>
      <c r="L39" s="375" t="s">
        <v>576</v>
      </c>
      <c r="M39" s="382"/>
      <c r="N39" s="392">
        <f>SUM(N36:N38)</f>
        <v>23.601916072473252</v>
      </c>
      <c r="O39" s="392">
        <f>SUM(O36:O38)</f>
        <v>25.573263851706649</v>
      </c>
      <c r="P39" s="392">
        <f>SUM(P36:P38)</f>
        <v>0</v>
      </c>
      <c r="Q39" s="34"/>
      <c r="R39" s="392">
        <f>SUM(R36:R38)</f>
        <v>0</v>
      </c>
      <c r="S39" s="392"/>
      <c r="T39" s="392">
        <f>SUM(T36:T38)</f>
        <v>30.094703712333704</v>
      </c>
      <c r="U39" s="392">
        <f>SUM(U36:U38)</f>
        <v>0</v>
      </c>
      <c r="V39" s="392">
        <f>SUM(V36:V38)</f>
        <v>0</v>
      </c>
      <c r="W39" s="34"/>
      <c r="X39" s="392">
        <f>SUM(X36:X38)</f>
        <v>0</v>
      </c>
      <c r="Y39" s="392">
        <f>SUM(Y36:Y38)</f>
        <v>0</v>
      </c>
    </row>
    <row r="40" spans="5:25" ht="13">
      <c r="E40" s="339" t="s">
        <v>577</v>
      </c>
      <c r="G40" s="505">
        <f>G38-G39</f>
        <v>8.9035705932110112</v>
      </c>
      <c r="H40" s="374"/>
      <c r="I40" s="351"/>
      <c r="J40" s="403"/>
      <c r="K40" s="358"/>
      <c r="L40" s="111"/>
      <c r="M40" s="393"/>
      <c r="N40" s="358"/>
      <c r="O40" s="358"/>
      <c r="P40" s="358"/>
      <c r="Q40" s="34"/>
      <c r="R40" s="358"/>
      <c r="S40" s="392"/>
      <c r="T40" s="358"/>
      <c r="U40" s="358"/>
      <c r="V40" s="358"/>
      <c r="W40" s="34"/>
      <c r="X40" s="358"/>
      <c r="Y40" s="358"/>
    </row>
    <row r="41" spans="5:25" ht="13">
      <c r="E41" s="381" t="s">
        <v>578</v>
      </c>
      <c r="G41" s="475">
        <v>0.107</v>
      </c>
      <c r="H41" s="350"/>
      <c r="I41" s="350"/>
      <c r="J41" s="375"/>
      <c r="K41" s="358"/>
      <c r="L41" s="386" t="s">
        <v>579</v>
      </c>
      <c r="M41" s="382"/>
      <c r="N41" s="473">
        <v>0.57999999999999996</v>
      </c>
      <c r="O41" s="473">
        <f>$N41</f>
        <v>0.57999999999999996</v>
      </c>
      <c r="P41" s="473"/>
      <c r="Q41" s="34"/>
      <c r="R41" s="35"/>
      <c r="S41" s="392"/>
      <c r="T41" s="358"/>
      <c r="U41" s="358"/>
      <c r="V41" s="358"/>
      <c r="W41" s="34"/>
      <c r="X41" s="358"/>
      <c r="Y41" s="358"/>
    </row>
    <row r="42" spans="5:25" ht="13">
      <c r="E42" s="374"/>
      <c r="G42" s="399"/>
      <c r="H42" s="350"/>
      <c r="I42" s="350"/>
      <c r="J42" s="375"/>
      <c r="K42" s="358"/>
      <c r="L42" s="386" t="s">
        <v>580</v>
      </c>
      <c r="M42" s="382"/>
      <c r="N42" s="473">
        <v>0.13</v>
      </c>
      <c r="O42" s="473">
        <f>$N42</f>
        <v>0.13</v>
      </c>
      <c r="P42" s="473"/>
      <c r="Q42" s="34"/>
      <c r="R42" s="35"/>
      <c r="S42" s="392"/>
      <c r="T42" s="473">
        <f>$N42</f>
        <v>0.13</v>
      </c>
      <c r="U42" s="473"/>
      <c r="V42" s="473"/>
      <c r="W42" s="34"/>
      <c r="X42" s="35"/>
      <c r="Y42" s="35"/>
    </row>
    <row r="43" spans="5:25" ht="13">
      <c r="E43" s="375"/>
      <c r="F43" s="434" t="s">
        <v>581</v>
      </c>
      <c r="G43" s="476">
        <f>IF(G38=0,0,(G40/G38)*G41)</f>
        <v>6.1568339882170753E-2</v>
      </c>
      <c r="H43" s="350"/>
      <c r="I43" s="404">
        <f>IF(I38=0,0,(I40/I38)*I41)</f>
        <v>0</v>
      </c>
      <c r="J43" s="375"/>
      <c r="K43" s="358"/>
      <c r="L43" s="111"/>
      <c r="M43" s="393"/>
      <c r="N43" s="358"/>
      <c r="O43" s="358"/>
      <c r="P43" s="358"/>
      <c r="Q43" s="34"/>
      <c r="R43" s="358"/>
      <c r="S43" s="392"/>
      <c r="T43" s="358"/>
      <c r="U43" s="358"/>
      <c r="V43" s="358"/>
      <c r="W43" s="34"/>
      <c r="X43" s="358"/>
      <c r="Y43" s="358"/>
    </row>
    <row r="44" spans="5:25" ht="13">
      <c r="E44" s="405"/>
      <c r="G44" s="406"/>
      <c r="H44" s="350"/>
      <c r="I44" s="350"/>
      <c r="J44" s="351"/>
      <c r="K44" s="358"/>
      <c r="L44" s="375" t="s">
        <v>582</v>
      </c>
      <c r="M44" s="382"/>
      <c r="N44" s="392">
        <f>SUM(N39:N42)</f>
        <v>24.311916072473249</v>
      </c>
      <c r="O44" s="392">
        <f>SUM(O39:O42)</f>
        <v>26.283263851706646</v>
      </c>
      <c r="P44" s="392">
        <f>SUM(P39:P42)</f>
        <v>0</v>
      </c>
      <c r="Q44" s="34"/>
      <c r="R44" s="392">
        <f>SUM(R39:R42)</f>
        <v>0</v>
      </c>
      <c r="S44" s="392"/>
      <c r="T44" s="392">
        <f>SUM(T39:T42)</f>
        <v>30.224703712333703</v>
      </c>
      <c r="U44" s="392">
        <f>SUM(U39:U42)</f>
        <v>0</v>
      </c>
      <c r="V44" s="392">
        <f>SUM(V39:V42)</f>
        <v>0</v>
      </c>
      <c r="W44" s="34"/>
      <c r="X44" s="392">
        <f>SUM(X39:X42)</f>
        <v>0</v>
      </c>
      <c r="Y44" s="392">
        <f>SUM(Y39:Y42)</f>
        <v>0</v>
      </c>
    </row>
    <row r="45" spans="5:25" ht="13">
      <c r="J45" s="344"/>
      <c r="K45" s="358"/>
      <c r="L45" s="111"/>
      <c r="M45" s="393"/>
      <c r="N45" s="358"/>
      <c r="O45" s="358"/>
      <c r="P45" s="358"/>
      <c r="Q45" s="34"/>
      <c r="R45" s="358"/>
      <c r="S45" s="392"/>
      <c r="T45" s="358"/>
      <c r="U45" s="358"/>
      <c r="V45" s="358"/>
      <c r="W45" s="34"/>
      <c r="X45" s="358"/>
      <c r="Y45" s="358"/>
    </row>
    <row r="46" spans="5:25" ht="15.5">
      <c r="F46" s="407"/>
      <c r="G46" s="408"/>
      <c r="H46" s="350"/>
      <c r="J46" s="344"/>
      <c r="K46" s="358"/>
      <c r="L46" s="386" t="s">
        <v>583</v>
      </c>
      <c r="M46" s="409"/>
      <c r="N46" s="473">
        <v>0.19877890713953325</v>
      </c>
      <c r="O46" s="473">
        <f>$N46</f>
        <v>0.19877890713953325</v>
      </c>
      <c r="P46" s="473"/>
      <c r="Q46" s="34"/>
      <c r="R46" s="35"/>
      <c r="S46" s="392"/>
      <c r="T46" s="473">
        <f>$N46</f>
        <v>0.19877890713953325</v>
      </c>
      <c r="U46" s="473"/>
      <c r="V46" s="473"/>
      <c r="W46" s="34"/>
      <c r="X46" s="35"/>
      <c r="Y46" s="35"/>
    </row>
    <row r="47" spans="5:25" ht="15.5">
      <c r="E47" s="372" t="s">
        <v>584</v>
      </c>
      <c r="G47" s="410"/>
      <c r="H47" s="350"/>
      <c r="J47" s="344"/>
      <c r="K47" s="358"/>
      <c r="L47" s="386" t="s">
        <v>585</v>
      </c>
      <c r="M47" s="409"/>
      <c r="N47" s="473">
        <v>0.23</v>
      </c>
      <c r="O47" s="473">
        <f t="shared" ref="O47:O51" si="0">$N47</f>
        <v>0.23</v>
      </c>
      <c r="P47" s="473"/>
      <c r="Q47" s="34"/>
      <c r="R47" s="35"/>
      <c r="S47" s="392"/>
      <c r="T47" s="473">
        <f t="shared" ref="T47:T51" si="1">$N47</f>
        <v>0.23</v>
      </c>
      <c r="U47" s="473"/>
      <c r="V47" s="473"/>
      <c r="W47" s="34"/>
      <c r="X47" s="35"/>
      <c r="Y47" s="35"/>
    </row>
    <row r="48" spans="5:25" ht="13">
      <c r="E48" s="410"/>
      <c r="F48" s="351" t="s">
        <v>586</v>
      </c>
      <c r="G48" s="410"/>
      <c r="H48" s="350"/>
      <c r="J48" s="344"/>
      <c r="K48" s="358"/>
      <c r="L48" s="386" t="s">
        <v>587</v>
      </c>
      <c r="M48" s="409"/>
      <c r="N48" s="473">
        <v>0.19877890713953325</v>
      </c>
      <c r="O48" s="473">
        <f t="shared" si="0"/>
        <v>0.19877890713953325</v>
      </c>
      <c r="P48" s="473"/>
      <c r="Q48" s="34"/>
      <c r="R48" s="35"/>
      <c r="S48" s="392"/>
      <c r="T48" s="473">
        <f t="shared" si="1"/>
        <v>0.19877890713953325</v>
      </c>
      <c r="U48" s="473"/>
      <c r="V48" s="473"/>
      <c r="W48" s="34"/>
      <c r="X48" s="35"/>
      <c r="Y48" s="35"/>
    </row>
    <row r="49" spans="5:25" ht="13">
      <c r="E49" s="411" t="s">
        <v>588</v>
      </c>
      <c r="F49" s="487">
        <v>365</v>
      </c>
      <c r="G49" s="412"/>
      <c r="H49" s="413"/>
      <c r="J49" s="344"/>
      <c r="K49" s="358"/>
      <c r="L49" s="386" t="s">
        <v>589</v>
      </c>
      <c r="M49" s="409"/>
      <c r="N49" s="473">
        <v>0.31</v>
      </c>
      <c r="O49" s="473">
        <f t="shared" si="0"/>
        <v>0.31</v>
      </c>
      <c r="P49" s="473"/>
      <c r="Q49" s="34"/>
      <c r="R49" s="35"/>
      <c r="S49" s="392"/>
      <c r="T49" s="473">
        <f t="shared" si="1"/>
        <v>0.31</v>
      </c>
      <c r="U49" s="473"/>
      <c r="V49" s="473"/>
      <c r="W49" s="34"/>
      <c r="X49" s="35"/>
      <c r="Y49" s="35"/>
    </row>
    <row r="50" spans="5:25" ht="13">
      <c r="E50" s="411" t="s">
        <v>590</v>
      </c>
      <c r="F50" s="509">
        <v>104</v>
      </c>
      <c r="G50" s="414"/>
      <c r="H50" s="415"/>
      <c r="J50" s="344"/>
      <c r="K50" s="358"/>
      <c r="L50" s="386" t="s">
        <v>591</v>
      </c>
      <c r="M50" s="409"/>
      <c r="N50" s="473">
        <v>0.13251927142635553</v>
      </c>
      <c r="O50" s="473">
        <f t="shared" si="0"/>
        <v>0.13251927142635553</v>
      </c>
      <c r="P50" s="473"/>
      <c r="Q50" s="34"/>
      <c r="R50" s="35"/>
      <c r="S50" s="392"/>
      <c r="T50" s="473">
        <f t="shared" si="1"/>
        <v>0.13251927142635553</v>
      </c>
      <c r="U50" s="473"/>
      <c r="V50" s="473"/>
      <c r="W50" s="34"/>
      <c r="X50" s="35"/>
      <c r="Y50" s="35"/>
    </row>
    <row r="51" spans="5:25" ht="13">
      <c r="E51" s="405" t="s">
        <v>592</v>
      </c>
      <c r="F51" s="416"/>
      <c r="G51" s="477">
        <f>F49-F50</f>
        <v>261</v>
      </c>
      <c r="H51" s="415"/>
      <c r="J51" s="344"/>
      <c r="K51" s="358"/>
      <c r="L51" s="386" t="s">
        <v>593</v>
      </c>
      <c r="M51" s="409"/>
      <c r="N51" s="473">
        <v>6.6259635713177764E-2</v>
      </c>
      <c r="O51" s="473">
        <f t="shared" si="0"/>
        <v>6.6259635713177764E-2</v>
      </c>
      <c r="P51" s="473"/>
      <c r="Q51" s="34"/>
      <c r="R51" s="35"/>
      <c r="S51" s="392"/>
      <c r="T51" s="473">
        <f t="shared" si="1"/>
        <v>6.6259635713177764E-2</v>
      </c>
      <c r="U51" s="473"/>
      <c r="V51" s="473"/>
      <c r="W51" s="34"/>
      <c r="X51" s="35"/>
      <c r="Y51" s="35"/>
    </row>
    <row r="52" spans="5:25" ht="13">
      <c r="E52" s="405"/>
      <c r="F52" s="416"/>
      <c r="G52" s="417"/>
      <c r="H52" s="415"/>
      <c r="J52" s="344"/>
      <c r="K52" s="358"/>
      <c r="L52" s="386" t="s">
        <v>594</v>
      </c>
      <c r="M52" s="409"/>
      <c r="N52" s="473"/>
      <c r="O52" s="473"/>
      <c r="P52" s="473"/>
      <c r="Q52" s="34"/>
      <c r="R52" s="35"/>
      <c r="S52" s="392"/>
      <c r="T52" s="473">
        <v>1.56</v>
      </c>
      <c r="U52" s="473"/>
      <c r="V52" s="473"/>
      <c r="W52" s="34"/>
      <c r="X52" s="35"/>
      <c r="Y52" s="35"/>
    </row>
    <row r="53" spans="5:25" ht="13">
      <c r="E53" s="411" t="s">
        <v>595</v>
      </c>
      <c r="F53" s="537">
        <v>7</v>
      </c>
      <c r="G53" s="418"/>
      <c r="H53" s="415"/>
      <c r="J53" s="344"/>
      <c r="K53" s="419"/>
      <c r="L53" s="386" t="s">
        <v>554</v>
      </c>
      <c r="M53" s="409"/>
      <c r="N53" s="473"/>
      <c r="O53" s="473"/>
      <c r="P53" s="473"/>
      <c r="Q53" s="34"/>
      <c r="R53" s="35"/>
      <c r="S53" s="392"/>
      <c r="T53" s="473"/>
      <c r="U53" s="473"/>
      <c r="V53" s="473"/>
      <c r="W53" s="34"/>
      <c r="X53" s="35"/>
      <c r="Y53" s="35"/>
    </row>
    <row r="54" spans="5:25" ht="13">
      <c r="E54" s="411" t="s">
        <v>596</v>
      </c>
      <c r="F54" s="537">
        <v>27</v>
      </c>
      <c r="G54" s="418"/>
      <c r="H54" s="415"/>
      <c r="J54" s="344"/>
      <c r="K54" s="358"/>
      <c r="L54" s="111"/>
      <c r="M54" s="393"/>
      <c r="N54" s="358"/>
      <c r="O54" s="358"/>
      <c r="P54" s="358"/>
      <c r="Q54" s="34"/>
      <c r="R54" s="358"/>
      <c r="S54" s="392"/>
      <c r="T54" s="358"/>
      <c r="U54" s="358"/>
      <c r="V54" s="358"/>
      <c r="W54" s="34"/>
      <c r="X54" s="358"/>
      <c r="Y54" s="358"/>
    </row>
    <row r="55" spans="5:25" ht="13">
      <c r="E55" s="411" t="s">
        <v>597</v>
      </c>
      <c r="F55" s="537">
        <v>14.8</v>
      </c>
      <c r="G55" s="420"/>
      <c r="H55" s="415"/>
      <c r="J55" s="344"/>
      <c r="K55" s="358"/>
      <c r="L55" s="375" t="s">
        <v>598</v>
      </c>
      <c r="M55" s="382"/>
      <c r="N55" s="392">
        <f>SUM(N44:N54)</f>
        <v>25.44825279389185</v>
      </c>
      <c r="O55" s="392">
        <f>SUM(O44:O54)</f>
        <v>27.419600573125248</v>
      </c>
      <c r="P55" s="392">
        <f>SUM(P44:P54)</f>
        <v>0</v>
      </c>
      <c r="Q55" s="34"/>
      <c r="R55" s="392">
        <f>SUM(R44:R54)</f>
        <v>0</v>
      </c>
      <c r="S55" s="392"/>
      <c r="T55" s="392">
        <f>SUM(T44:T54)</f>
        <v>32.921040433752303</v>
      </c>
      <c r="U55" s="392">
        <f>SUM(U44:U54)</f>
        <v>0</v>
      </c>
      <c r="V55" s="392">
        <f>SUM(V44:V54)</f>
        <v>0</v>
      </c>
      <c r="W55" s="34"/>
      <c r="X55" s="392">
        <f>SUM(X44:X54)</f>
        <v>0</v>
      </c>
      <c r="Y55" s="392">
        <f>SUM(Y44:Y54)</f>
        <v>0</v>
      </c>
    </row>
    <row r="56" spans="5:25" ht="13">
      <c r="E56" s="411" t="s">
        <v>599</v>
      </c>
      <c r="F56" s="421"/>
      <c r="G56" s="420"/>
      <c r="H56" s="415"/>
      <c r="J56" s="344"/>
      <c r="K56" s="358"/>
      <c r="L56" s="111"/>
      <c r="M56" s="393"/>
      <c r="N56" s="358"/>
      <c r="O56" s="358"/>
      <c r="P56" s="358"/>
      <c r="Q56" s="34"/>
      <c r="R56" s="358"/>
      <c r="S56" s="392"/>
      <c r="T56" s="358"/>
      <c r="U56" s="358"/>
      <c r="V56" s="358"/>
      <c r="W56" s="34"/>
      <c r="X56" s="358"/>
      <c r="Y56" s="358"/>
    </row>
    <row r="57" spans="5:25" ht="13">
      <c r="E57" s="405" t="s">
        <v>600</v>
      </c>
      <c r="F57" s="510"/>
      <c r="G57" s="477">
        <f>G51-F53-F54-F55</f>
        <v>212.2</v>
      </c>
      <c r="H57" s="415"/>
      <c r="J57" s="344"/>
      <c r="K57" s="358"/>
      <c r="L57" s="386" t="s">
        <v>601</v>
      </c>
      <c r="M57" s="536">
        <v>0.04</v>
      </c>
      <c r="N57" s="422">
        <f>N55*$M$57</f>
        <v>1.017930111755674</v>
      </c>
      <c r="O57" s="422">
        <f>O55*$M$57</f>
        <v>1.0967840229250099</v>
      </c>
      <c r="P57" s="422">
        <f>P55*$M$57</f>
        <v>0</v>
      </c>
      <c r="Q57" s="34"/>
      <c r="R57" s="422">
        <f>R55*$M$57</f>
        <v>0</v>
      </c>
      <c r="S57" s="392"/>
      <c r="T57" s="422">
        <f>T55*$M$57</f>
        <v>1.3168416173500921</v>
      </c>
      <c r="U57" s="422">
        <f>U55*$M$57</f>
        <v>0</v>
      </c>
      <c r="V57" s="422">
        <f>V55*$M$57</f>
        <v>0</v>
      </c>
      <c r="W57" s="34"/>
      <c r="X57" s="422">
        <f>X55*$M$57</f>
        <v>0</v>
      </c>
      <c r="Y57" s="422">
        <f>Y55*$M$57</f>
        <v>0</v>
      </c>
    </row>
    <row r="58" spans="5:25" ht="13">
      <c r="E58" s="405"/>
      <c r="F58" s="423"/>
      <c r="G58" s="410"/>
      <c r="H58" s="350"/>
      <c r="J58" s="344"/>
      <c r="K58" s="358"/>
      <c r="L58" s="111"/>
      <c r="M58" s="424"/>
      <c r="N58" s="358"/>
      <c r="O58" s="358"/>
      <c r="P58" s="358"/>
      <c r="Q58" s="34"/>
      <c r="R58" s="358"/>
      <c r="S58" s="392"/>
      <c r="T58" s="358"/>
      <c r="U58" s="358"/>
      <c r="V58" s="358"/>
      <c r="W58" s="34"/>
      <c r="X58" s="358"/>
      <c r="Y58" s="358"/>
    </row>
    <row r="59" spans="5:25" ht="13">
      <c r="E59" s="344" t="s">
        <v>602</v>
      </c>
      <c r="F59" s="478">
        <f>IF(F53=0,0,F53/$G$57)</f>
        <v>3.2987747408105561E-2</v>
      </c>
      <c r="G59" s="425"/>
      <c r="H59" s="350"/>
      <c r="J59" s="344"/>
      <c r="K59" s="358"/>
      <c r="L59" s="386" t="s">
        <v>603</v>
      </c>
      <c r="M59" s="111"/>
      <c r="N59" s="426">
        <f>N57+N55</f>
        <v>26.466182905647525</v>
      </c>
      <c r="O59" s="426">
        <f>O57+O55</f>
        <v>28.516384596050258</v>
      </c>
      <c r="P59" s="426">
        <f>P57+P55</f>
        <v>0</v>
      </c>
      <c r="Q59" s="34"/>
      <c r="R59" s="426">
        <f>R57+R55</f>
        <v>0</v>
      </c>
      <c r="S59" s="392"/>
      <c r="T59" s="426">
        <f>T57+T55</f>
        <v>34.237882051102396</v>
      </c>
      <c r="U59" s="426">
        <f>U57+U55</f>
        <v>0</v>
      </c>
      <c r="V59" s="426">
        <f>V57+V55</f>
        <v>0</v>
      </c>
      <c r="W59" s="34"/>
      <c r="X59" s="426">
        <f>X57+X55</f>
        <v>0</v>
      </c>
      <c r="Y59" s="426">
        <f>Y57+Y55</f>
        <v>0</v>
      </c>
    </row>
    <row r="60" spans="5:25" ht="13">
      <c r="E60" s="344" t="s">
        <v>596</v>
      </c>
      <c r="F60" s="478">
        <f>IF(F54=0,0,F54/$G$57)</f>
        <v>0.12723845428840716</v>
      </c>
      <c r="G60" s="425"/>
      <c r="H60" s="350"/>
      <c r="J60" s="344"/>
      <c r="K60" s="358"/>
      <c r="L60" s="72"/>
      <c r="M60" s="111"/>
      <c r="N60" s="111"/>
      <c r="O60" s="111"/>
      <c r="P60" s="111"/>
      <c r="Q60" s="34"/>
      <c r="R60" s="111"/>
      <c r="S60" s="392"/>
      <c r="T60" s="111"/>
      <c r="U60" s="111"/>
      <c r="V60" s="111"/>
      <c r="W60" s="34"/>
      <c r="X60" s="111"/>
      <c r="Y60" s="111"/>
    </row>
    <row r="61" spans="5:25" ht="13">
      <c r="E61" s="344" t="s">
        <v>604</v>
      </c>
      <c r="F61" s="478">
        <f>IF(F55=0,0,F55/$G$57)</f>
        <v>6.9745523091423192E-2</v>
      </c>
      <c r="G61" s="425"/>
      <c r="H61" s="350"/>
      <c r="J61" s="344"/>
      <c r="K61" s="358"/>
      <c r="L61" s="386" t="s">
        <v>605</v>
      </c>
      <c r="M61" s="111"/>
      <c r="N61" s="426">
        <f>N$39*30%+N59</f>
        <v>33.546757727389497</v>
      </c>
      <c r="O61" s="426">
        <f>O$39*30%+O59</f>
        <v>36.18836375156225</v>
      </c>
      <c r="P61" s="426">
        <f>P$39*30%+P59</f>
        <v>0</v>
      </c>
      <c r="Q61" s="34"/>
      <c r="R61" s="426">
        <f>R$39*30%+R59</f>
        <v>0</v>
      </c>
      <c r="S61" s="392"/>
      <c r="T61" s="426">
        <f>T$39*30%+T59</f>
        <v>43.266293164802505</v>
      </c>
      <c r="U61" s="426">
        <f>U$39*30%+U59</f>
        <v>0</v>
      </c>
      <c r="V61" s="426">
        <f>V$39*30%+V59</f>
        <v>0</v>
      </c>
      <c r="W61" s="34"/>
      <c r="X61" s="426">
        <f>X$39*30%+X59</f>
        <v>0</v>
      </c>
      <c r="Y61" s="426">
        <f>Y$39*30%+Y59</f>
        <v>0</v>
      </c>
    </row>
    <row r="62" spans="5:25" ht="13">
      <c r="E62" s="344" t="s">
        <v>599</v>
      </c>
      <c r="F62" s="427">
        <f>IF(F56=0,0,F56/$G$57)</f>
        <v>0</v>
      </c>
      <c r="G62" s="425"/>
      <c r="H62" s="350"/>
      <c r="J62" s="344"/>
      <c r="K62" s="358"/>
      <c r="L62" s="72"/>
      <c r="M62" s="111"/>
      <c r="N62" s="111"/>
      <c r="O62" s="111"/>
      <c r="P62" s="111"/>
      <c r="Q62" s="34"/>
      <c r="R62" s="111"/>
      <c r="S62" s="392"/>
      <c r="T62" s="111"/>
      <c r="U62" s="111"/>
      <c r="V62" s="111"/>
      <c r="W62" s="34"/>
      <c r="X62" s="111"/>
      <c r="Y62" s="111"/>
    </row>
    <row r="63" spans="5:25" ht="13">
      <c r="E63" s="375"/>
      <c r="F63" s="434" t="s">
        <v>606</v>
      </c>
      <c r="G63" s="479">
        <f>SUM(F59:F61)</f>
        <v>0.22997172478793593</v>
      </c>
      <c r="H63" s="374"/>
      <c r="J63" s="344"/>
      <c r="K63" s="358"/>
      <c r="L63" s="386" t="s">
        <v>607</v>
      </c>
      <c r="M63" s="111"/>
      <c r="N63" s="426">
        <f>N$39*50%+N59</f>
        <v>38.267140941884151</v>
      </c>
      <c r="O63" s="426">
        <f>O$39*50%+O59</f>
        <v>41.303016521903587</v>
      </c>
      <c r="P63" s="426">
        <f>P$39*50%+P59</f>
        <v>0</v>
      </c>
      <c r="Q63" s="34"/>
      <c r="R63" s="426">
        <f>R$39*50%+R59</f>
        <v>0</v>
      </c>
      <c r="S63" s="392"/>
      <c r="T63" s="426">
        <f>T$39*50%+T59</f>
        <v>49.285233907269244</v>
      </c>
      <c r="U63" s="426">
        <f>U$39*50%+U59</f>
        <v>0</v>
      </c>
      <c r="V63" s="426">
        <f>V$39*50%+V59</f>
        <v>0</v>
      </c>
      <c r="W63" s="34"/>
      <c r="X63" s="426">
        <f>X$39*50%+X59</f>
        <v>0</v>
      </c>
      <c r="Y63" s="426">
        <f>Y$39*50%+Y59</f>
        <v>0</v>
      </c>
    </row>
    <row r="64" spans="5:25">
      <c r="K64" s="358"/>
      <c r="L64" s="72"/>
      <c r="M64" s="111"/>
      <c r="N64" s="111"/>
      <c r="O64" s="111"/>
      <c r="P64" s="111"/>
      <c r="Q64" s="34"/>
      <c r="R64" s="111"/>
      <c r="S64" s="111"/>
      <c r="T64" s="111"/>
      <c r="U64" s="111"/>
      <c r="V64" s="111"/>
      <c r="W64" s="34"/>
      <c r="X64" s="111"/>
      <c r="Y64" s="111"/>
    </row>
    <row r="65" spans="5:25" ht="13">
      <c r="K65" s="358"/>
      <c r="L65" s="386" t="s">
        <v>608</v>
      </c>
      <c r="M65" s="111"/>
      <c r="N65" s="426">
        <f>N$39*150%+N59</f>
        <v>61.869057014357409</v>
      </c>
      <c r="O65" s="426">
        <f>O$39*150%+O59</f>
        <v>66.876280373610228</v>
      </c>
      <c r="P65" s="426">
        <f>P$39*150%+P59</f>
        <v>0</v>
      </c>
      <c r="Q65" s="34"/>
      <c r="R65" s="426">
        <f>R$39*150%+R59</f>
        <v>0</v>
      </c>
      <c r="S65" s="426"/>
      <c r="T65" s="426">
        <f>T$39*150%+T59</f>
        <v>79.379937619602941</v>
      </c>
      <c r="U65" s="426">
        <f>U$39*150%+U59</f>
        <v>0</v>
      </c>
      <c r="V65" s="426">
        <f>V$39*150%+V59</f>
        <v>0</v>
      </c>
      <c r="W65" s="34"/>
      <c r="X65" s="426">
        <f>X$39*150%+X59</f>
        <v>0</v>
      </c>
      <c r="Y65" s="426">
        <f>Y$39*150%+Y59</f>
        <v>0</v>
      </c>
    </row>
    <row r="66" spans="5:25" ht="13" thickBot="1">
      <c r="K66" s="358"/>
      <c r="L66" s="358"/>
      <c r="M66" s="111"/>
      <c r="N66" s="111"/>
      <c r="O66" s="111"/>
      <c r="P66" s="111"/>
      <c r="Q66" s="34"/>
      <c r="R66" s="111"/>
      <c r="S66" s="111"/>
      <c r="T66" s="111"/>
      <c r="U66" s="111"/>
      <c r="V66" s="111"/>
      <c r="W66" s="34"/>
      <c r="X66" s="111"/>
      <c r="Y66" s="111"/>
    </row>
    <row r="67" spans="5:25">
      <c r="E67" s="435"/>
      <c r="F67" s="435"/>
      <c r="G67" s="435"/>
      <c r="H67" s="435"/>
      <c r="I67" s="435"/>
      <c r="J67" s="435"/>
      <c r="K67" s="436"/>
      <c r="L67" s="437"/>
      <c r="M67" s="438"/>
      <c r="N67" s="438"/>
      <c r="O67" s="438"/>
      <c r="P67" s="438"/>
      <c r="Q67" s="438"/>
      <c r="R67" s="438"/>
      <c r="S67" s="438"/>
      <c r="T67" s="438"/>
      <c r="U67" s="438"/>
      <c r="V67" s="438"/>
      <c r="W67" s="34"/>
      <c r="X67" s="111"/>
      <c r="Y67" s="111"/>
    </row>
    <row r="68" spans="5:25" ht="26">
      <c r="J68" s="452"/>
      <c r="K68" s="453"/>
      <c r="L68" s="454" t="s">
        <v>20</v>
      </c>
      <c r="M68" s="453"/>
      <c r="N68" s="455" t="s">
        <v>40</v>
      </c>
      <c r="O68" s="455" t="s">
        <v>609</v>
      </c>
      <c r="P68" s="455" t="s">
        <v>610</v>
      </c>
      <c r="Q68" s="456"/>
      <c r="R68" s="111"/>
      <c r="S68" s="111"/>
      <c r="T68" s="111"/>
      <c r="U68" s="111"/>
      <c r="V68" s="111"/>
      <c r="W68" s="34"/>
      <c r="X68" s="111"/>
      <c r="Y68" s="111"/>
    </row>
    <row r="69" spans="5:25">
      <c r="J69" s="452"/>
      <c r="K69" s="456"/>
      <c r="L69" s="457" t="str">
        <f>'1.0-Contractblad'!D20</f>
        <v>Lngr 1 : Vakvolwassen Dienstjaar 2</v>
      </c>
      <c r="M69" s="456"/>
      <c r="N69" s="458">
        <f>'1.0-Contractblad'!H20</f>
        <v>4094.1833893059897</v>
      </c>
      <c r="O69" s="459">
        <f>N33</f>
        <v>14.689647675000002</v>
      </c>
      <c r="P69" s="459">
        <f>N69*O69</f>
        <v>60142.111505742359</v>
      </c>
      <c r="Q69" s="452"/>
      <c r="S69" s="111"/>
      <c r="T69" s="111"/>
      <c r="U69" s="111"/>
      <c r="V69" s="111"/>
      <c r="W69" s="34"/>
      <c r="X69" s="111"/>
      <c r="Y69" s="111"/>
    </row>
    <row r="70" spans="5:25">
      <c r="J70" s="452"/>
      <c r="K70" s="456"/>
      <c r="L70" s="457" t="str">
        <f>'1.0-Contractblad'!D22</f>
        <v>Lngr 2 : Vakvolwassen Dienstjaar 3</v>
      </c>
      <c r="M70" s="456"/>
      <c r="N70" s="458">
        <f>'1.0-Contractblad'!H22</f>
        <v>2729.45559287066</v>
      </c>
      <c r="O70" s="459">
        <f>O33</f>
        <v>15.91659909</v>
      </c>
      <c r="P70" s="459">
        <f t="shared" ref="P70:P75" si="2">N70*O70</f>
        <v>43443.650405680557</v>
      </c>
      <c r="Q70" s="452"/>
      <c r="S70" s="111"/>
      <c r="T70" s="111"/>
      <c r="U70" s="111"/>
      <c r="V70" s="111"/>
      <c r="W70" s="34"/>
      <c r="X70" s="111"/>
      <c r="Y70" s="111"/>
    </row>
    <row r="71" spans="5:25" ht="13">
      <c r="E71" s="405"/>
      <c r="F71" s="405"/>
      <c r="G71" s="374"/>
      <c r="H71" s="374"/>
      <c r="I71" s="374"/>
      <c r="J71" s="460"/>
      <c r="K71" s="456"/>
      <c r="L71" s="457" t="str">
        <f>'1.0-Contractblad'!D24</f>
        <v>Selecteer tarief uitvoerend</v>
      </c>
      <c r="M71" s="456"/>
      <c r="N71" s="458">
        <f>'1.0-Contractblad'!H24</f>
        <v>0</v>
      </c>
      <c r="O71" s="459">
        <f>P33</f>
        <v>0</v>
      </c>
      <c r="P71" s="459">
        <f t="shared" si="2"/>
        <v>0</v>
      </c>
      <c r="Q71" s="452"/>
      <c r="S71" s="111"/>
      <c r="T71" s="111"/>
      <c r="U71" s="111"/>
      <c r="V71" s="111"/>
      <c r="W71" s="34"/>
      <c r="X71" s="111"/>
      <c r="Y71" s="111"/>
    </row>
    <row r="72" spans="5:25">
      <c r="E72" s="344"/>
      <c r="F72" s="344"/>
      <c r="G72" s="344"/>
      <c r="H72" s="350"/>
      <c r="I72" s="350"/>
      <c r="J72" s="461"/>
      <c r="K72" s="456"/>
      <c r="L72" s="457"/>
      <c r="M72" s="456"/>
      <c r="N72" s="458"/>
      <c r="O72" s="459"/>
      <c r="P72" s="459"/>
      <c r="Q72" s="452"/>
      <c r="S72" s="111"/>
      <c r="T72" s="111"/>
      <c r="U72" s="111"/>
      <c r="V72" s="111"/>
      <c r="W72" s="34"/>
      <c r="X72" s="111"/>
      <c r="Y72" s="111"/>
    </row>
    <row r="73" spans="5:25">
      <c r="E73" s="344"/>
      <c r="F73" s="344"/>
      <c r="G73" s="344"/>
      <c r="H73" s="350"/>
      <c r="I73" s="350"/>
      <c r="J73" s="461"/>
      <c r="K73" s="456"/>
      <c r="L73" s="457" t="str">
        <f>'1.0-Contractblad'!D30</f>
        <v>Lngr 5 : Vakvolwassen Dienstjaar 4</v>
      </c>
      <c r="M73" s="456"/>
      <c r="N73" s="458">
        <f>'1.0-Contractblad'!H30</f>
        <v>614.12750839589842</v>
      </c>
      <c r="O73" s="459">
        <f>T33</f>
        <v>18.730707839999997</v>
      </c>
      <c r="P73" s="459">
        <f t="shared" si="2"/>
        <v>11503.042936270718</v>
      </c>
      <c r="Q73" s="452"/>
      <c r="S73" s="111"/>
      <c r="T73" s="111"/>
      <c r="U73" s="111"/>
      <c r="V73" s="111"/>
      <c r="W73" s="34"/>
      <c r="X73" s="111"/>
      <c r="Y73" s="111"/>
    </row>
    <row r="74" spans="5:25">
      <c r="E74" s="344"/>
      <c r="F74" s="344"/>
      <c r="G74" s="344"/>
      <c r="H74" s="350"/>
      <c r="I74" s="350"/>
      <c r="J74" s="461"/>
      <c r="K74" s="456"/>
      <c r="L74" s="457" t="str">
        <f>'1.0-Contractblad'!D32</f>
        <v>Selecteer tarief toezicht</v>
      </c>
      <c r="M74" s="456"/>
      <c r="N74" s="458">
        <f>'1.0-Contractblad'!H32</f>
        <v>0</v>
      </c>
      <c r="O74" s="459">
        <f>U33</f>
        <v>0</v>
      </c>
      <c r="P74" s="459">
        <f t="shared" si="2"/>
        <v>0</v>
      </c>
      <c r="Q74" s="452"/>
      <c r="S74" s="111"/>
      <c r="T74" s="111"/>
      <c r="U74" s="111"/>
      <c r="V74" s="111"/>
      <c r="W74" s="34"/>
      <c r="X74" s="111"/>
      <c r="Y74" s="111"/>
    </row>
    <row r="75" spans="5:25">
      <c r="E75" s="344"/>
      <c r="F75" s="344"/>
      <c r="G75" s="344"/>
      <c r="H75" s="350"/>
      <c r="I75" s="350"/>
      <c r="J75" s="461"/>
      <c r="K75" s="456"/>
      <c r="L75" s="457" t="str">
        <f>'1.0-Contractblad'!D34</f>
        <v>Selecteer tarief toezicht</v>
      </c>
      <c r="M75" s="456"/>
      <c r="N75" s="458">
        <f>'1.0-Contractblad'!H34</f>
        <v>0</v>
      </c>
      <c r="O75" s="459">
        <f>V33</f>
        <v>0</v>
      </c>
      <c r="P75" s="459">
        <f t="shared" si="2"/>
        <v>0</v>
      </c>
      <c r="Q75" s="452"/>
      <c r="S75" s="111"/>
      <c r="T75" s="111"/>
      <c r="U75" s="111"/>
      <c r="V75" s="111"/>
      <c r="W75" s="34"/>
      <c r="X75" s="111"/>
      <c r="Y75" s="111"/>
    </row>
    <row r="76" spans="5:25">
      <c r="E76" s="344"/>
      <c r="F76" s="344"/>
      <c r="G76" s="344"/>
      <c r="H76" s="350"/>
      <c r="I76" s="350"/>
      <c r="J76" s="461"/>
      <c r="K76" s="456"/>
      <c r="L76" s="457">
        <f>'1.0-Contractblad'!D36</f>
        <v>0</v>
      </c>
      <c r="M76" s="456"/>
      <c r="N76" s="462"/>
      <c r="O76" s="456"/>
      <c r="P76" s="456"/>
      <c r="Q76" s="452"/>
      <c r="S76" s="111"/>
      <c r="T76" s="111"/>
      <c r="U76" s="111"/>
      <c r="V76" s="111"/>
      <c r="W76" s="34"/>
      <c r="X76" s="111"/>
      <c r="Y76" s="111"/>
    </row>
    <row r="77" spans="5:25">
      <c r="E77" s="344"/>
      <c r="F77" s="344"/>
      <c r="G77" s="344"/>
      <c r="H77" s="350"/>
      <c r="I77" s="350"/>
      <c r="J77" s="461"/>
      <c r="K77" s="456"/>
      <c r="L77" s="452"/>
      <c r="M77" s="456"/>
      <c r="N77" s="463">
        <f>SUM(N69:N76)</f>
        <v>7437.7664905725478</v>
      </c>
      <c r="O77" s="456"/>
      <c r="P77" s="464">
        <f>SUM(P69:P76)</f>
        <v>115088.80484769364</v>
      </c>
      <c r="Q77" s="452"/>
      <c r="S77" s="111"/>
      <c r="T77" s="111"/>
      <c r="U77" s="111"/>
      <c r="V77" s="111"/>
      <c r="W77" s="34"/>
      <c r="X77" s="111"/>
      <c r="Y77" s="111"/>
    </row>
    <row r="78" spans="5:25">
      <c r="E78" s="344"/>
      <c r="F78" s="344"/>
      <c r="G78" s="344"/>
      <c r="H78" s="350"/>
      <c r="I78" s="350"/>
      <c r="J78" s="461"/>
      <c r="K78" s="456"/>
      <c r="L78" s="456"/>
      <c r="M78" s="456"/>
      <c r="N78" s="456"/>
      <c r="O78" s="456"/>
      <c r="P78" s="456"/>
      <c r="Q78" s="452"/>
      <c r="S78" s="111"/>
      <c r="T78" s="111"/>
      <c r="U78" s="111"/>
      <c r="V78" s="111"/>
      <c r="W78" s="34"/>
      <c r="X78" s="111"/>
      <c r="Y78" s="111"/>
    </row>
    <row r="79" spans="5:25" ht="13">
      <c r="F79" s="428"/>
      <c r="J79" s="452"/>
      <c r="K79" s="456"/>
      <c r="L79" s="456"/>
      <c r="M79" s="465"/>
      <c r="N79" s="466" t="s">
        <v>611</v>
      </c>
      <c r="O79" s="467">
        <f>IF(P77=0,0,P77/N77)</f>
        <v>15.473570593211011</v>
      </c>
      <c r="P79" s="456"/>
      <c r="Q79" s="456"/>
      <c r="R79" s="111"/>
      <c r="S79" s="111"/>
      <c r="T79" s="111"/>
      <c r="U79" s="111"/>
      <c r="V79" s="111"/>
      <c r="W79" s="34"/>
      <c r="X79" s="111"/>
      <c r="Y79" s="111"/>
    </row>
    <row r="80" spans="5:25" ht="13">
      <c r="F80" s="428"/>
      <c r="J80" s="452"/>
      <c r="K80" s="456"/>
      <c r="L80" s="456"/>
      <c r="M80" s="465"/>
      <c r="N80" s="466"/>
      <c r="O80" s="467"/>
      <c r="P80" s="456"/>
      <c r="Q80" s="456"/>
      <c r="R80" s="111"/>
      <c r="S80" s="111"/>
      <c r="T80" s="111"/>
      <c r="U80" s="111"/>
      <c r="V80" s="111"/>
      <c r="W80" s="34"/>
      <c r="X80" s="111"/>
      <c r="Y80" s="111"/>
    </row>
    <row r="81" spans="5:25">
      <c r="F81" s="428"/>
      <c r="U81" s="111"/>
      <c r="V81" s="111"/>
      <c r="W81" s="34"/>
      <c r="X81" s="111"/>
      <c r="Y81" s="111"/>
    </row>
    <row r="82" spans="5:25" hidden="1">
      <c r="F82" s="428"/>
      <c r="K82" s="429" t="s">
        <v>540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34"/>
      <c r="X82" s="111"/>
      <c r="Y82" s="111"/>
    </row>
    <row r="83" spans="5:25" ht="13" hidden="1">
      <c r="F83" s="428"/>
      <c r="K83" s="34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34"/>
      <c r="X83" s="111"/>
      <c r="Y83" s="111"/>
    </row>
    <row r="84" spans="5:25" hidden="1">
      <c r="E84" s="339" t="s">
        <v>612</v>
      </c>
      <c r="K84" s="429" t="s">
        <v>538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34"/>
      <c r="X84" s="111"/>
      <c r="Y84" s="111"/>
    </row>
    <row r="85" spans="5:25" hidden="1">
      <c r="E85" s="339" t="s">
        <v>613</v>
      </c>
      <c r="F85" s="339">
        <v>1</v>
      </c>
      <c r="G85" s="430">
        <v>5.4899999999999997E-2</v>
      </c>
      <c r="K85" s="429" t="s">
        <v>539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34"/>
      <c r="X85" s="111"/>
      <c r="Y85" s="111"/>
    </row>
    <row r="86" spans="5:25" hidden="1">
      <c r="E86" s="339" t="s">
        <v>614</v>
      </c>
      <c r="F86" s="339">
        <v>2</v>
      </c>
      <c r="G86" s="430">
        <v>7.0499999999999993E-2</v>
      </c>
      <c r="K86" s="429" t="s">
        <v>615</v>
      </c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34"/>
      <c r="X86" s="111"/>
      <c r="Y86" s="111"/>
    </row>
    <row r="87" spans="5:25" hidden="1">
      <c r="F87" s="428"/>
      <c r="K87" s="429" t="s">
        <v>616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34"/>
      <c r="X87" s="111"/>
      <c r="Y87" s="111"/>
    </row>
    <row r="88" spans="5:25" hidden="1">
      <c r="F88" s="428"/>
      <c r="K88" s="429" t="s">
        <v>541</v>
      </c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34"/>
      <c r="X88" s="111"/>
      <c r="Y88" s="111"/>
    </row>
    <row r="89" spans="5:25" hidden="1">
      <c r="F89" s="428"/>
      <c r="K89" s="429" t="s">
        <v>617</v>
      </c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34"/>
      <c r="X89" s="111"/>
      <c r="Y89" s="111"/>
    </row>
    <row r="90" spans="5:25" hidden="1">
      <c r="K90" s="429" t="s">
        <v>618</v>
      </c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34"/>
      <c r="X90" s="111"/>
      <c r="Y90" s="111"/>
    </row>
    <row r="91" spans="5:25" hidden="1">
      <c r="K91" s="429" t="s">
        <v>619</v>
      </c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34"/>
      <c r="X91" s="111"/>
      <c r="Y91" s="111"/>
    </row>
    <row r="92" spans="5:25" hidden="1">
      <c r="K92" s="429" t="s">
        <v>620</v>
      </c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34"/>
      <c r="X92" s="111"/>
      <c r="Y92" s="111"/>
    </row>
    <row r="93" spans="5:25" hidden="1">
      <c r="K93" s="429" t="s">
        <v>621</v>
      </c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34"/>
      <c r="X93" s="111"/>
      <c r="Y93" s="111"/>
    </row>
    <row r="94" spans="5:25" hidden="1">
      <c r="K94" s="429" t="s">
        <v>622</v>
      </c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34"/>
      <c r="X94" s="111"/>
      <c r="Y94" s="111"/>
    </row>
    <row r="95" spans="5:25" hidden="1">
      <c r="K95" s="429" t="s">
        <v>623</v>
      </c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34"/>
      <c r="X95" s="111"/>
      <c r="Y95" s="111"/>
    </row>
    <row r="96" spans="5:25" hidden="1">
      <c r="K96" s="429" t="s">
        <v>624</v>
      </c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34"/>
      <c r="X96" s="111"/>
      <c r="Y96" s="111"/>
    </row>
    <row r="97" spans="11:25" hidden="1">
      <c r="K97" s="429" t="s">
        <v>625</v>
      </c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34"/>
      <c r="X97" s="111"/>
      <c r="Y97" s="111"/>
    </row>
    <row r="98" spans="11:25" hidden="1">
      <c r="K98" s="429" t="s">
        <v>626</v>
      </c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34"/>
      <c r="X98" s="111"/>
      <c r="Y98" s="111"/>
    </row>
    <row r="99" spans="11:25" hidden="1">
      <c r="K99" s="429" t="s">
        <v>627</v>
      </c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34"/>
      <c r="X99" s="111"/>
      <c r="Y99" s="111"/>
    </row>
    <row r="100" spans="11:25" hidden="1">
      <c r="K100" s="429" t="s">
        <v>628</v>
      </c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34"/>
      <c r="X100" s="111"/>
      <c r="Y100" s="111"/>
    </row>
    <row r="101" spans="11:25" hidden="1">
      <c r="K101" s="429" t="s">
        <v>629</v>
      </c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34"/>
      <c r="X101" s="111"/>
      <c r="Y101" s="111"/>
    </row>
    <row r="102" spans="11:25" hidden="1">
      <c r="K102" s="429" t="s">
        <v>630</v>
      </c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34"/>
      <c r="X102" s="111"/>
      <c r="Y102" s="111"/>
    </row>
    <row r="103" spans="11:25" hidden="1">
      <c r="K103" s="429" t="s">
        <v>631</v>
      </c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34"/>
      <c r="X103" s="111"/>
      <c r="Y103" s="111"/>
    </row>
    <row r="104" spans="11:25" hidden="1">
      <c r="K104" s="429" t="s">
        <v>632</v>
      </c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34"/>
      <c r="X104" s="111"/>
      <c r="Y104" s="111"/>
    </row>
    <row r="105" spans="11:25" hidden="1">
      <c r="K105" s="429" t="s">
        <v>633</v>
      </c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34"/>
      <c r="X105" s="111"/>
      <c r="Y105" s="111"/>
    </row>
    <row r="106" spans="11:25" hidden="1">
      <c r="K106" s="429" t="s">
        <v>634</v>
      </c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34"/>
      <c r="X106" s="111"/>
      <c r="Y106" s="111"/>
    </row>
    <row r="107" spans="11:25" hidden="1">
      <c r="K107" s="429" t="s">
        <v>635</v>
      </c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34"/>
      <c r="X107" s="111"/>
      <c r="Y107" s="111"/>
    </row>
    <row r="108" spans="11:25" hidden="1">
      <c r="K108" s="429" t="s">
        <v>636</v>
      </c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34"/>
      <c r="X108" s="111"/>
      <c r="Y108" s="111"/>
    </row>
    <row r="109" spans="11:25" hidden="1">
      <c r="K109" s="429" t="s">
        <v>637</v>
      </c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34"/>
      <c r="X109" s="111"/>
      <c r="Y109" s="111"/>
    </row>
    <row r="110" spans="11:25" hidden="1">
      <c r="K110" s="429" t="s">
        <v>638</v>
      </c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34"/>
      <c r="X110" s="111"/>
      <c r="Y110" s="111"/>
    </row>
    <row r="111" spans="11:25" hidden="1">
      <c r="K111" s="429" t="s">
        <v>639</v>
      </c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34"/>
      <c r="X111" s="111"/>
      <c r="Y111" s="111"/>
    </row>
    <row r="112" spans="11:25" hidden="1">
      <c r="K112" s="429" t="s">
        <v>640</v>
      </c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34"/>
      <c r="X112" s="111"/>
      <c r="Y112" s="111"/>
    </row>
    <row r="113" spans="11:25" hidden="1">
      <c r="K113" s="429" t="s">
        <v>641</v>
      </c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34"/>
      <c r="X113" s="111"/>
      <c r="Y113" s="111"/>
    </row>
    <row r="114" spans="11:25" hidden="1">
      <c r="K114" s="429" t="s">
        <v>642</v>
      </c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34"/>
      <c r="X114" s="111"/>
      <c r="Y114" s="111"/>
    </row>
    <row r="115" spans="11:25" hidden="1">
      <c r="K115" s="429" t="s">
        <v>643</v>
      </c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34"/>
      <c r="X115" s="111"/>
      <c r="Y115" s="111"/>
    </row>
    <row r="116" spans="11:25" hidden="1">
      <c r="K116" s="429" t="s">
        <v>644</v>
      </c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34"/>
      <c r="X116" s="111"/>
      <c r="Y116" s="111"/>
    </row>
    <row r="117" spans="11:25" hidden="1">
      <c r="K117" s="429" t="s">
        <v>645</v>
      </c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34"/>
      <c r="X117" s="111"/>
      <c r="Y117" s="111"/>
    </row>
    <row r="118" spans="11:25" hidden="1">
      <c r="K118" s="429" t="s">
        <v>646</v>
      </c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34"/>
      <c r="X118" s="111"/>
      <c r="Y118" s="111"/>
    </row>
    <row r="119" spans="11:25" hidden="1">
      <c r="K119" s="429" t="s">
        <v>647</v>
      </c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34"/>
      <c r="X119" s="111"/>
      <c r="Y119" s="111"/>
    </row>
    <row r="120" spans="11:25" hidden="1">
      <c r="K120" s="429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34"/>
      <c r="X120" s="111"/>
      <c r="Y120" s="111"/>
    </row>
    <row r="121" spans="11:25" hidden="1">
      <c r="K121" s="429" t="s">
        <v>542</v>
      </c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34"/>
      <c r="X121" s="111"/>
      <c r="Y121" s="111"/>
    </row>
    <row r="122" spans="11:25" ht="13" hidden="1">
      <c r="K122" s="431">
        <v>1</v>
      </c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34"/>
      <c r="X122" s="111"/>
      <c r="Y122" s="111"/>
    </row>
    <row r="123" spans="11:25" hidden="1">
      <c r="K123" s="429">
        <v>2</v>
      </c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34"/>
      <c r="X123" s="111"/>
      <c r="Y123" s="111"/>
    </row>
    <row r="124" spans="11:25" hidden="1">
      <c r="K124" s="429">
        <v>3</v>
      </c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34"/>
      <c r="X124" s="111"/>
      <c r="Y124" s="111"/>
    </row>
    <row r="125" spans="11:25" hidden="1">
      <c r="K125" s="429">
        <v>4</v>
      </c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34"/>
      <c r="X125" s="111"/>
      <c r="Y125" s="111"/>
    </row>
    <row r="126" spans="11:25" hidden="1">
      <c r="K126" s="429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34"/>
      <c r="X126" s="111"/>
      <c r="Y126" s="111"/>
    </row>
    <row r="127" spans="11:25" hidden="1">
      <c r="K127" s="429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34"/>
      <c r="X127" s="111"/>
      <c r="Y127" s="111"/>
    </row>
    <row r="128" spans="11:25">
      <c r="K128" s="429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34"/>
      <c r="X128" s="111"/>
      <c r="Y128" s="111"/>
    </row>
    <row r="129" spans="11:25">
      <c r="K129" s="429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34"/>
      <c r="X129" s="111"/>
      <c r="Y129" s="111"/>
    </row>
    <row r="130" spans="11:25">
      <c r="K130" s="429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34"/>
      <c r="X130" s="111"/>
      <c r="Y130" s="111"/>
    </row>
    <row r="131" spans="11:25">
      <c r="K131" s="429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34"/>
      <c r="X131" s="111"/>
      <c r="Y131" s="111"/>
    </row>
    <row r="132" spans="11:25">
      <c r="K132" s="429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34"/>
      <c r="X132" s="111"/>
      <c r="Y132" s="111"/>
    </row>
    <row r="133" spans="11:25">
      <c r="K133" s="429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34"/>
      <c r="X133" s="111"/>
      <c r="Y133" s="111"/>
    </row>
    <row r="134" spans="11:25">
      <c r="K134" s="429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34"/>
      <c r="X134" s="111"/>
      <c r="Y134" s="111"/>
    </row>
    <row r="135" spans="11:25">
      <c r="K135" s="429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34"/>
      <c r="X135" s="111"/>
      <c r="Y135" s="111"/>
    </row>
    <row r="136" spans="11:25">
      <c r="K136" s="429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34"/>
      <c r="X136" s="111"/>
      <c r="Y136" s="111"/>
    </row>
    <row r="137" spans="11:25">
      <c r="K137" s="429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34"/>
      <c r="X137" s="111"/>
      <c r="Y137" s="111"/>
    </row>
    <row r="138" spans="11:25">
      <c r="K138" s="429"/>
      <c r="L138" s="423"/>
      <c r="M138" s="111"/>
      <c r="N138" s="111"/>
      <c r="O138" s="111"/>
      <c r="P138" s="111"/>
      <c r="W138" s="34"/>
    </row>
    <row r="139" spans="11:25">
      <c r="K139" s="429"/>
      <c r="L139" s="423"/>
      <c r="M139" s="111"/>
      <c r="N139" s="111"/>
      <c r="O139" s="111"/>
      <c r="P139" s="111"/>
      <c r="W139" s="34"/>
    </row>
    <row r="140" spans="11:25">
      <c r="K140" s="429"/>
      <c r="L140" s="423"/>
      <c r="M140" s="111"/>
      <c r="N140" s="111"/>
      <c r="O140" s="111"/>
      <c r="P140" s="111"/>
      <c r="W140" s="34"/>
    </row>
    <row r="141" spans="11:25">
      <c r="K141" s="429"/>
      <c r="L141" s="423"/>
      <c r="M141" s="111"/>
      <c r="N141" s="111"/>
      <c r="O141" s="111"/>
      <c r="P141" s="111"/>
      <c r="W141" s="34"/>
    </row>
    <row r="142" spans="11:25">
      <c r="K142" s="429"/>
      <c r="L142" s="423"/>
      <c r="M142" s="111"/>
      <c r="N142" s="111"/>
      <c r="O142" s="111"/>
      <c r="P142" s="111"/>
      <c r="W142" s="34"/>
    </row>
    <row r="143" spans="11:25">
      <c r="K143" s="429"/>
      <c r="L143" s="423"/>
      <c r="M143" s="111"/>
      <c r="N143" s="111"/>
      <c r="O143" s="111"/>
      <c r="P143" s="111"/>
    </row>
    <row r="144" spans="11:25">
      <c r="K144" s="429"/>
      <c r="L144" s="423"/>
      <c r="M144" s="111"/>
      <c r="N144" s="111"/>
      <c r="O144" s="111"/>
      <c r="P144" s="111"/>
    </row>
    <row r="145" spans="11:16">
      <c r="K145" s="429"/>
      <c r="L145" s="423"/>
      <c r="M145" s="111"/>
      <c r="N145" s="111"/>
      <c r="O145" s="111"/>
      <c r="P145" s="111"/>
    </row>
    <row r="146" spans="11:16">
      <c r="K146" s="429"/>
      <c r="L146" s="423"/>
      <c r="M146" s="111"/>
      <c r="N146" s="111"/>
      <c r="O146" s="111"/>
      <c r="P146" s="111"/>
    </row>
    <row r="147" spans="11:16">
      <c r="K147" s="429"/>
      <c r="L147" s="423"/>
      <c r="M147" s="111"/>
      <c r="N147" s="111"/>
      <c r="O147" s="111"/>
      <c r="P147" s="111"/>
    </row>
    <row r="148" spans="11:16">
      <c r="K148" s="429"/>
      <c r="L148" s="423"/>
      <c r="M148" s="111"/>
      <c r="N148" s="111"/>
      <c r="O148" s="111"/>
      <c r="P148" s="111"/>
    </row>
    <row r="149" spans="11:16">
      <c r="K149" s="429"/>
      <c r="L149" s="423"/>
      <c r="M149" s="111"/>
      <c r="N149" s="111"/>
      <c r="O149" s="111"/>
      <c r="P149" s="111"/>
    </row>
    <row r="150" spans="11:16">
      <c r="K150" s="429"/>
      <c r="L150" s="423"/>
      <c r="M150" s="111"/>
      <c r="N150" s="111"/>
      <c r="O150" s="111"/>
      <c r="P150" s="111"/>
    </row>
    <row r="151" spans="11:16">
      <c r="K151" s="429"/>
      <c r="L151" s="423"/>
      <c r="M151" s="111"/>
      <c r="N151" s="111"/>
      <c r="O151" s="111"/>
      <c r="P151" s="111"/>
    </row>
    <row r="152" spans="11:16">
      <c r="K152" s="429"/>
      <c r="L152" s="423"/>
      <c r="M152" s="111"/>
      <c r="N152" s="111"/>
      <c r="O152" s="111"/>
      <c r="P152" s="111"/>
    </row>
    <row r="153" spans="11:16">
      <c r="N153" s="429"/>
    </row>
    <row r="154" spans="11:16"/>
    <row r="155" spans="11:16"/>
    <row r="156" spans="11:16"/>
    <row r="157" spans="11:16"/>
  </sheetData>
  <sheetProtection algorithmName="SHA-512" hashValue="KFZBSt2RfJDOIoREboBstPBTaiVntr57fCqjzAw8dElCxXUHSLzI2ax8VjBamRJJdWfIj992Y5zKeHJGOJ+KIA==" saltValue="XFjRTZy1ku1uxJ5jC3Mvjg==" spinCount="100000" sheet="1" objects="1" scenarios="1"/>
  <dataConsolidate/>
  <mergeCells count="3">
    <mergeCell ref="T11:V11"/>
    <mergeCell ref="X11:Y11"/>
    <mergeCell ref="N11:P11"/>
  </mergeCells>
  <conditionalFormatting sqref="F39">
    <cfRule type="expression" dxfId="160" priority="406">
      <formula>"D40=&gt;0"</formula>
    </cfRule>
  </conditionalFormatting>
  <conditionalFormatting sqref="G43">
    <cfRule type="cellIs" dxfId="159" priority="405" operator="greaterThan">
      <formula>0</formula>
    </cfRule>
  </conditionalFormatting>
  <conditionalFormatting sqref="G63">
    <cfRule type="cellIs" dxfId="158" priority="400" operator="greaterThan">
      <formula>0</formula>
    </cfRule>
  </conditionalFormatting>
  <conditionalFormatting sqref="G51">
    <cfRule type="cellIs" dxfId="157" priority="398" operator="greaterThan">
      <formula>0</formula>
    </cfRule>
  </conditionalFormatting>
  <conditionalFormatting sqref="G57">
    <cfRule type="cellIs" dxfId="156" priority="397" operator="greaterThan">
      <formula>0</formula>
    </cfRule>
  </conditionalFormatting>
  <conditionalFormatting sqref="F59">
    <cfRule type="cellIs" dxfId="155" priority="396" operator="greaterThan">
      <formula>0</formula>
    </cfRule>
  </conditionalFormatting>
  <conditionalFormatting sqref="F60">
    <cfRule type="cellIs" dxfId="154" priority="394" operator="greaterThan">
      <formula>0</formula>
    </cfRule>
  </conditionalFormatting>
  <conditionalFormatting sqref="F61">
    <cfRule type="cellIs" dxfId="153" priority="393" operator="greaterThan">
      <formula>0</formula>
    </cfRule>
  </conditionalFormatting>
  <conditionalFormatting sqref="N27 N29 M33 N34">
    <cfRule type="cellIs" dxfId="152" priority="388" operator="greaterThan">
      <formula>0</formula>
    </cfRule>
  </conditionalFormatting>
  <conditionalFormatting sqref="O29 O34 O38:O39 O57 O36 O44 O59:O65 O31">
    <cfRule type="cellIs" dxfId="151" priority="387" operator="greaterThan">
      <formula>0</formula>
    </cfRule>
  </conditionalFormatting>
  <conditionalFormatting sqref="N39">
    <cfRule type="cellIs" dxfId="150" priority="382" operator="greaterThan">
      <formula>0</formula>
    </cfRule>
  </conditionalFormatting>
  <conditionalFormatting sqref="N57">
    <cfRule type="cellIs" dxfId="149" priority="380" operator="greaterThan">
      <formula>0</formula>
    </cfRule>
  </conditionalFormatting>
  <conditionalFormatting sqref="N59:N65">
    <cfRule type="cellIs" dxfId="148" priority="378" operator="greaterThan">
      <formula>0</formula>
    </cfRule>
  </conditionalFormatting>
  <conditionalFormatting sqref="M34">
    <cfRule type="cellIs" dxfId="147" priority="386" stopIfTrue="1" operator="greaterThan">
      <formula>0.01</formula>
    </cfRule>
  </conditionalFormatting>
  <conditionalFormatting sqref="N36">
    <cfRule type="cellIs" dxfId="146" priority="383" operator="greaterThan">
      <formula>0</formula>
    </cfRule>
  </conditionalFormatting>
  <conditionalFormatting sqref="N44">
    <cfRule type="cellIs" dxfId="145" priority="381" operator="greaterThan">
      <formula>0</formula>
    </cfRule>
  </conditionalFormatting>
  <conditionalFormatting sqref="N24">
    <cfRule type="cellIs" dxfId="144" priority="375" operator="greaterThan">
      <formula>0</formula>
    </cfRule>
  </conditionalFormatting>
  <conditionalFormatting sqref="N55">
    <cfRule type="cellIs" dxfId="143" priority="379" operator="greaterThan">
      <formula>0</formula>
    </cfRule>
  </conditionalFormatting>
  <conditionalFormatting sqref="N38">
    <cfRule type="cellIs" dxfId="142" priority="377" operator="greaterThan">
      <formula>0</formula>
    </cfRule>
  </conditionalFormatting>
  <conditionalFormatting sqref="N31">
    <cfRule type="cellIs" dxfId="141" priority="376" operator="greaterThan">
      <formula>0</formula>
    </cfRule>
  </conditionalFormatting>
  <conditionalFormatting sqref="P29 P34 P38:P39 P57 P36 P44 P59:P65 P31">
    <cfRule type="cellIs" dxfId="140" priority="372" operator="greaterThan">
      <formula>0</formula>
    </cfRule>
  </conditionalFormatting>
  <conditionalFormatting sqref="R29:S29 R34:S34 R38:S39 R57 R36:S36 R44 R64:S65 R31:S31 R59:R63 S40 S43:S45 S53:S63">
    <cfRule type="cellIs" dxfId="139" priority="370" operator="greaterThan">
      <formula>0</formula>
    </cfRule>
  </conditionalFormatting>
  <conditionalFormatting sqref="T29 T34 T38:T39 T57 T36 T59:T65 T31">
    <cfRule type="cellIs" dxfId="138" priority="369" operator="greaterThan">
      <formula>0</formula>
    </cfRule>
  </conditionalFormatting>
  <conditionalFormatting sqref="U29 U34 U38:U39 U57 U36 U44 U59:U65 U31">
    <cfRule type="cellIs" dxfId="137" priority="367" operator="greaterThan">
      <formula>0</formula>
    </cfRule>
  </conditionalFormatting>
  <conditionalFormatting sqref="V29 V34 V38:V39 V57 V36 V44 V59:V65 V31">
    <cfRule type="cellIs" dxfId="136" priority="365" operator="greaterThan">
      <formula>0</formula>
    </cfRule>
  </conditionalFormatting>
  <conditionalFormatting sqref="X29 X34 X38:X39 X57 X36 X44 X59:X65 X31">
    <cfRule type="cellIs" dxfId="135" priority="363" operator="greaterThan">
      <formula>0</formula>
    </cfRule>
  </conditionalFormatting>
  <conditionalFormatting sqref="X21:X23">
    <cfRule type="cellIs" dxfId="134" priority="362" operator="greaterThan">
      <formula>0</formula>
    </cfRule>
  </conditionalFormatting>
  <conditionalFormatting sqref="Y29 Y34 Y38:Y39 Y57 Y36 Y44 Y59:Y65 Y31">
    <cfRule type="cellIs" dxfId="133" priority="361" operator="greaterThan">
      <formula>0</formula>
    </cfRule>
  </conditionalFormatting>
  <conditionalFormatting sqref="Y21:Y23">
    <cfRule type="cellIs" dxfId="132" priority="360" operator="greaterThan">
      <formula>0</formula>
    </cfRule>
  </conditionalFormatting>
  <conditionalFormatting sqref="N33">
    <cfRule type="cellIs" dxfId="131" priority="352" operator="greaterThan">
      <formula>0</formula>
    </cfRule>
  </conditionalFormatting>
  <conditionalFormatting sqref="S27">
    <cfRule type="cellIs" dxfId="130" priority="340" operator="greaterThan">
      <formula>0</formula>
    </cfRule>
  </conditionalFormatting>
  <conditionalFormatting sqref="O55">
    <cfRule type="cellIs" dxfId="129" priority="331" operator="greaterThan">
      <formula>0</formula>
    </cfRule>
  </conditionalFormatting>
  <conditionalFormatting sqref="P55">
    <cfRule type="cellIs" dxfId="128" priority="330" operator="greaterThan">
      <formula>0</formula>
    </cfRule>
  </conditionalFormatting>
  <conditionalFormatting sqref="R55">
    <cfRule type="cellIs" dxfId="127" priority="328" operator="greaterThan">
      <formula>0</formula>
    </cfRule>
  </conditionalFormatting>
  <conditionalFormatting sqref="T55">
    <cfRule type="cellIs" dxfId="126" priority="327" operator="greaterThan">
      <formula>0</formula>
    </cfRule>
  </conditionalFormatting>
  <conditionalFormatting sqref="U55">
    <cfRule type="cellIs" dxfId="125" priority="326" operator="greaterThan">
      <formula>0</formula>
    </cfRule>
  </conditionalFormatting>
  <conditionalFormatting sqref="V55">
    <cfRule type="cellIs" dxfId="124" priority="325" operator="greaterThan">
      <formula>0</formula>
    </cfRule>
  </conditionalFormatting>
  <conditionalFormatting sqref="X55">
    <cfRule type="cellIs" dxfId="123" priority="324" operator="greaterThan">
      <formula>0</formula>
    </cfRule>
  </conditionalFormatting>
  <conditionalFormatting sqref="Y55">
    <cfRule type="cellIs" dxfId="122" priority="323" operator="greaterThan">
      <formula>0</formula>
    </cfRule>
  </conditionalFormatting>
  <conditionalFormatting sqref="O33">
    <cfRule type="cellIs" dxfId="121" priority="319" operator="greaterThan">
      <formula>0</formula>
    </cfRule>
  </conditionalFormatting>
  <conditionalFormatting sqref="P33">
    <cfRule type="cellIs" dxfId="120" priority="318" operator="greaterThan">
      <formula>0</formula>
    </cfRule>
  </conditionalFormatting>
  <conditionalFormatting sqref="R33:S33">
    <cfRule type="cellIs" dxfId="119" priority="316" operator="greaterThan">
      <formula>0</formula>
    </cfRule>
  </conditionalFormatting>
  <conditionalFormatting sqref="T33">
    <cfRule type="cellIs" dxfId="118" priority="315" operator="greaterThan">
      <formula>0</formula>
    </cfRule>
  </conditionalFormatting>
  <conditionalFormatting sqref="U33">
    <cfRule type="cellIs" dxfId="117" priority="314" operator="greaterThan">
      <formula>0</formula>
    </cfRule>
  </conditionalFormatting>
  <conditionalFormatting sqref="V33">
    <cfRule type="cellIs" dxfId="116" priority="313" operator="greaterThan">
      <formula>0</formula>
    </cfRule>
  </conditionalFormatting>
  <conditionalFormatting sqref="X33">
    <cfRule type="cellIs" dxfId="115" priority="312" operator="greaterThan">
      <formula>0</formula>
    </cfRule>
  </conditionalFormatting>
  <conditionalFormatting sqref="Y33">
    <cfRule type="cellIs" dxfId="114" priority="311" operator="greaterThan">
      <formula>0</formula>
    </cfRule>
  </conditionalFormatting>
  <conditionalFormatting sqref="M27">
    <cfRule type="cellIs" dxfId="113" priority="302" operator="greaterThan">
      <formula>0</formula>
    </cfRule>
  </conditionalFormatting>
  <conditionalFormatting sqref="R23">
    <cfRule type="cellIs" dxfId="112" priority="278" operator="greaterThan">
      <formula>0</formula>
    </cfRule>
  </conditionalFormatting>
  <conditionalFormatting sqref="R21">
    <cfRule type="cellIs" dxfId="111" priority="281" operator="greaterThan">
      <formula>0</formula>
    </cfRule>
  </conditionalFormatting>
  <conditionalFormatting sqref="R22">
    <cfRule type="cellIs" dxfId="110" priority="279" operator="greaterThan">
      <formula>0</formula>
    </cfRule>
  </conditionalFormatting>
  <conditionalFormatting sqref="N25">
    <cfRule type="cellIs" dxfId="109" priority="253" operator="greaterThan">
      <formula>0</formula>
    </cfRule>
  </conditionalFormatting>
  <conditionalFormatting sqref="O25">
    <cfRule type="cellIs" dxfId="108" priority="252" operator="greaterThan">
      <formula>0</formula>
    </cfRule>
  </conditionalFormatting>
  <conditionalFormatting sqref="P25">
    <cfRule type="cellIs" dxfId="107" priority="251" operator="greaterThan">
      <formula>0</formula>
    </cfRule>
  </conditionalFormatting>
  <conditionalFormatting sqref="R53">
    <cfRule type="cellIs" dxfId="106" priority="234" operator="greaterThan">
      <formula>0</formula>
    </cfRule>
  </conditionalFormatting>
  <conditionalFormatting sqref="X53:Y53">
    <cfRule type="cellIs" dxfId="105" priority="233" operator="greaterThan">
      <formula>0</formula>
    </cfRule>
  </conditionalFormatting>
  <conditionalFormatting sqref="X42">
    <cfRule type="cellIs" dxfId="104" priority="213" operator="greaterThan">
      <formula>0</formula>
    </cfRule>
  </conditionalFormatting>
  <conditionalFormatting sqref="Y42">
    <cfRule type="cellIs" dxfId="103" priority="212" operator="greaterThan">
      <formula>0</formula>
    </cfRule>
  </conditionalFormatting>
  <conditionalFormatting sqref="S46:S49">
    <cfRule type="cellIs" dxfId="102" priority="208" operator="greaterThan">
      <formula>0</formula>
    </cfRule>
  </conditionalFormatting>
  <conditionalFormatting sqref="X50:Y51">
    <cfRule type="cellIs" dxfId="101" priority="202" operator="greaterThan">
      <formula>0</formula>
    </cfRule>
  </conditionalFormatting>
  <conditionalFormatting sqref="R46:R49">
    <cfRule type="cellIs" dxfId="100" priority="207" operator="greaterThan">
      <formula>0</formula>
    </cfRule>
  </conditionalFormatting>
  <conditionalFormatting sqref="X46:Y49">
    <cfRule type="cellIs" dxfId="99" priority="206" operator="greaterThan">
      <formula>0</formula>
    </cfRule>
  </conditionalFormatting>
  <conditionalFormatting sqref="S50:S52">
    <cfRule type="cellIs" dxfId="98" priority="205" operator="greaterThan">
      <formula>0</formula>
    </cfRule>
  </conditionalFormatting>
  <conditionalFormatting sqref="R50:R51">
    <cfRule type="cellIs" dxfId="97" priority="204" operator="greaterThan">
      <formula>0</formula>
    </cfRule>
  </conditionalFormatting>
  <conditionalFormatting sqref="R52">
    <cfRule type="cellIs" dxfId="96" priority="203" operator="greaterThan">
      <formula>0</formula>
    </cfRule>
  </conditionalFormatting>
  <conditionalFormatting sqref="X52:Y52">
    <cfRule type="cellIs" dxfId="95" priority="201" operator="greaterThan">
      <formula>0</formula>
    </cfRule>
  </conditionalFormatting>
  <conditionalFormatting sqref="O24">
    <cfRule type="cellIs" dxfId="94" priority="131" operator="greaterThan">
      <formula>0</formula>
    </cfRule>
  </conditionalFormatting>
  <conditionalFormatting sqref="P24">
    <cfRule type="cellIs" dxfId="93" priority="130" operator="greaterThan">
      <formula>0</formula>
    </cfRule>
  </conditionalFormatting>
  <conditionalFormatting sqref="R24">
    <cfRule type="cellIs" dxfId="92" priority="128" operator="greaterThan">
      <formula>0</formula>
    </cfRule>
  </conditionalFormatting>
  <conditionalFormatting sqref="T24">
    <cfRule type="cellIs" dxfId="91" priority="127" operator="greaterThan">
      <formula>0</formula>
    </cfRule>
  </conditionalFormatting>
  <conditionalFormatting sqref="U24">
    <cfRule type="cellIs" dxfId="90" priority="126" operator="greaterThan">
      <formula>0</formula>
    </cfRule>
  </conditionalFormatting>
  <conditionalFormatting sqref="V24">
    <cfRule type="cellIs" dxfId="89" priority="125" operator="greaterThan">
      <formula>0</formula>
    </cfRule>
  </conditionalFormatting>
  <conditionalFormatting sqref="X24">
    <cfRule type="cellIs" dxfId="88" priority="124" operator="greaterThan">
      <formula>0</formula>
    </cfRule>
  </conditionalFormatting>
  <conditionalFormatting sqref="Y24">
    <cfRule type="cellIs" dxfId="87" priority="123" operator="greaterThan">
      <formula>0</formula>
    </cfRule>
  </conditionalFormatting>
  <conditionalFormatting sqref="O27">
    <cfRule type="cellIs" dxfId="86" priority="122" operator="greaterThan">
      <formula>0</formula>
    </cfRule>
  </conditionalFormatting>
  <conditionalFormatting sqref="P27">
    <cfRule type="cellIs" dxfId="85" priority="121" operator="greaterThan">
      <formula>0</formula>
    </cfRule>
  </conditionalFormatting>
  <conditionalFormatting sqref="R27">
    <cfRule type="cellIs" dxfId="84" priority="119" operator="greaterThan">
      <formula>0</formula>
    </cfRule>
  </conditionalFormatting>
  <conditionalFormatting sqref="T27">
    <cfRule type="cellIs" dxfId="83" priority="118" operator="greaterThan">
      <formula>0</formula>
    </cfRule>
  </conditionalFormatting>
  <conditionalFormatting sqref="U27">
    <cfRule type="cellIs" dxfId="82" priority="117" operator="greaterThan">
      <formula>0</formula>
    </cfRule>
  </conditionalFormatting>
  <conditionalFormatting sqref="V27">
    <cfRule type="cellIs" dxfId="81" priority="116" operator="greaterThan">
      <formula>0</formula>
    </cfRule>
  </conditionalFormatting>
  <conditionalFormatting sqref="X27">
    <cfRule type="cellIs" dxfId="80" priority="115" operator="greaterThan">
      <formula>0</formula>
    </cfRule>
  </conditionalFormatting>
  <conditionalFormatting sqref="Y27">
    <cfRule type="cellIs" dxfId="79" priority="114" operator="greaterThan">
      <formula>0</formula>
    </cfRule>
  </conditionalFormatting>
  <conditionalFormatting sqref="Y17">
    <cfRule type="cellIs" dxfId="78" priority="89" operator="greaterThan">
      <formula>0</formula>
    </cfRule>
  </conditionalFormatting>
  <conditionalFormatting sqref="R17">
    <cfRule type="cellIs" dxfId="77" priority="87" operator="greaterThan">
      <formula>0</formula>
    </cfRule>
  </conditionalFormatting>
  <conditionalFormatting sqref="X17">
    <cfRule type="cellIs" dxfId="76" priority="86" operator="greaterThan">
      <formula>0</formula>
    </cfRule>
  </conditionalFormatting>
  <conditionalFormatting sqref="M24">
    <cfRule type="cellIs" dxfId="75" priority="74" operator="greaterThan">
      <formula>0</formula>
    </cfRule>
  </conditionalFormatting>
  <conditionalFormatting sqref="M29">
    <cfRule type="cellIs" dxfId="74" priority="73" operator="greaterThan">
      <formula>0</formula>
    </cfRule>
  </conditionalFormatting>
  <conditionalFormatting sqref="M38">
    <cfRule type="cellIs" dxfId="73" priority="72" stopIfTrue="1" operator="greaterThan">
      <formula>0.01</formula>
    </cfRule>
  </conditionalFormatting>
  <conditionalFormatting sqref="M57">
    <cfRule type="cellIs" dxfId="72" priority="56" operator="greaterThan">
      <formula>0</formula>
    </cfRule>
  </conditionalFormatting>
  <conditionalFormatting sqref="G19">
    <cfRule type="notContainsBlanks" dxfId="71" priority="407">
      <formula>LEN(TRIM(G19))&gt;0</formula>
    </cfRule>
  </conditionalFormatting>
  <conditionalFormatting sqref="G20">
    <cfRule type="notContainsBlanks" dxfId="70" priority="53">
      <formula>LEN(TRIM(G20))&gt;0</formula>
    </cfRule>
  </conditionalFormatting>
  <conditionalFormatting sqref="G21">
    <cfRule type="notContainsBlanks" dxfId="69" priority="52">
      <formula>LEN(TRIM(G21))&gt;0</formula>
    </cfRule>
  </conditionalFormatting>
  <conditionalFormatting sqref="G26">
    <cfRule type="notContainsBlanks" dxfId="68" priority="51">
      <formula>LEN(TRIM(G26))&gt;0</formula>
    </cfRule>
  </conditionalFormatting>
  <conditionalFormatting sqref="G28">
    <cfRule type="notContainsBlanks" dxfId="67" priority="50">
      <formula>LEN(TRIM(G28))&gt;0</formula>
    </cfRule>
  </conditionalFormatting>
  <conditionalFormatting sqref="G30">
    <cfRule type="notContainsBlanks" dxfId="66" priority="49">
      <formula>LEN(TRIM(G30))&gt;0</formula>
    </cfRule>
  </conditionalFormatting>
  <conditionalFormatting sqref="G31">
    <cfRule type="notContainsBlanks" dxfId="65" priority="48">
      <formula>LEN(TRIM(G31))&gt;0</formula>
    </cfRule>
  </conditionalFormatting>
  <conditionalFormatting sqref="G41">
    <cfRule type="notContainsBlanks" dxfId="64" priority="47">
      <formula>LEN(TRIM(G41))&gt;0</formula>
    </cfRule>
  </conditionalFormatting>
  <conditionalFormatting sqref="G39">
    <cfRule type="notContainsBlanks" dxfId="63" priority="46">
      <formula>LEN(TRIM(G39))&gt;0</formula>
    </cfRule>
  </conditionalFormatting>
  <conditionalFormatting sqref="F49">
    <cfRule type="notContainsBlanks" dxfId="62" priority="45">
      <formula>LEN(TRIM(F49))&gt;0</formula>
    </cfRule>
  </conditionalFormatting>
  <conditionalFormatting sqref="F50">
    <cfRule type="notContainsBlanks" dxfId="61" priority="44">
      <formula>LEN(TRIM(F50))&gt;0</formula>
    </cfRule>
  </conditionalFormatting>
  <conditionalFormatting sqref="F53">
    <cfRule type="notContainsBlanks" dxfId="60" priority="43">
      <formula>LEN(TRIM(F53))&gt;0</formula>
    </cfRule>
  </conditionalFormatting>
  <conditionalFormatting sqref="F54">
    <cfRule type="notContainsBlanks" dxfId="59" priority="42">
      <formula>LEN(TRIM(F54))&gt;0</formula>
    </cfRule>
  </conditionalFormatting>
  <conditionalFormatting sqref="F55">
    <cfRule type="notContainsBlanks" dxfId="58" priority="41">
      <formula>LEN(TRIM(F55))&gt;0</formula>
    </cfRule>
  </conditionalFormatting>
  <conditionalFormatting sqref="N17">
    <cfRule type="cellIs" dxfId="57" priority="40" operator="greaterThan">
      <formula>0</formula>
    </cfRule>
  </conditionalFormatting>
  <conditionalFormatting sqref="U17:V17">
    <cfRule type="cellIs" dxfId="56" priority="32" operator="greaterThan">
      <formula>0</formula>
    </cfRule>
  </conditionalFormatting>
  <conditionalFormatting sqref="N21:P21">
    <cfRule type="cellIs" dxfId="55" priority="31" operator="greaterThan">
      <formula>0</formula>
    </cfRule>
  </conditionalFormatting>
  <conditionalFormatting sqref="N22:P23">
    <cfRule type="cellIs" dxfId="54" priority="30" operator="greaterThan">
      <formula>0</formula>
    </cfRule>
  </conditionalFormatting>
  <conditionalFormatting sqref="N41:N42">
    <cfRule type="cellIs" dxfId="53" priority="29" operator="greaterThan">
      <formula>0</formula>
    </cfRule>
  </conditionalFormatting>
  <conditionalFormatting sqref="N46:P53">
    <cfRule type="cellIs" dxfId="52" priority="28" operator="greaterThan">
      <formula>0</formula>
    </cfRule>
  </conditionalFormatting>
  <conditionalFormatting sqref="T53:V53 U46:V52">
    <cfRule type="cellIs" dxfId="51" priority="27" operator="greaterThan">
      <formula>0</formula>
    </cfRule>
  </conditionalFormatting>
  <conditionalFormatting sqref="V42">
    <cfRule type="cellIs" dxfId="50" priority="26" operator="greaterThan">
      <formula>0</formula>
    </cfRule>
  </conditionalFormatting>
  <conditionalFormatting sqref="T21:V23">
    <cfRule type="cellIs" dxfId="49" priority="25" operator="greaterThan">
      <formula>0</formula>
    </cfRule>
  </conditionalFormatting>
  <conditionalFormatting sqref="T44">
    <cfRule type="cellIs" dxfId="48" priority="24" operator="greaterThan">
      <formula>0</formula>
    </cfRule>
  </conditionalFormatting>
  <conditionalFormatting sqref="T52">
    <cfRule type="cellIs" dxfId="47" priority="22" operator="greaterThan">
      <formula>0</formula>
    </cfRule>
  </conditionalFormatting>
  <conditionalFormatting sqref="T50">
    <cfRule type="cellIs" dxfId="46" priority="21" operator="greaterThan">
      <formula>0</formula>
    </cfRule>
  </conditionalFormatting>
  <conditionalFormatting sqref="T48">
    <cfRule type="cellIs" dxfId="45" priority="19" operator="greaterThan">
      <formula>0</formula>
    </cfRule>
  </conditionalFormatting>
  <conditionalFormatting sqref="T47">
    <cfRule type="cellIs" dxfId="44" priority="18" operator="greaterThan">
      <formula>0</formula>
    </cfRule>
  </conditionalFormatting>
  <conditionalFormatting sqref="T49">
    <cfRule type="cellIs" dxfId="43" priority="15" operator="greaterThan">
      <formula>0</formula>
    </cfRule>
  </conditionalFormatting>
  <conditionalFormatting sqref="T46">
    <cfRule type="cellIs" dxfId="42" priority="16" operator="greaterThan">
      <formula>0</formula>
    </cfRule>
  </conditionalFormatting>
  <conditionalFormatting sqref="T51">
    <cfRule type="cellIs" dxfId="41" priority="14" operator="greaterThan">
      <formula>0</formula>
    </cfRule>
  </conditionalFormatting>
  <conditionalFormatting sqref="T17">
    <cfRule type="cellIs" dxfId="40" priority="13" operator="greaterThan">
      <formula>0</formula>
    </cfRule>
  </conditionalFormatting>
  <conditionalFormatting sqref="O17">
    <cfRule type="cellIs" dxfId="39" priority="12" operator="greaterThan">
      <formula>0</formula>
    </cfRule>
  </conditionalFormatting>
  <conditionalFormatting sqref="P17">
    <cfRule type="cellIs" dxfId="38" priority="11" operator="greaterThan">
      <formula>0</formula>
    </cfRule>
  </conditionalFormatting>
  <conditionalFormatting sqref="U42">
    <cfRule type="cellIs" dxfId="37" priority="9" operator="greaterThan">
      <formula>0</formula>
    </cfRule>
  </conditionalFormatting>
  <conditionalFormatting sqref="S41">
    <cfRule type="cellIs" dxfId="36" priority="8" operator="greaterThan">
      <formula>0</formula>
    </cfRule>
  </conditionalFormatting>
  <conditionalFormatting sqref="R41">
    <cfRule type="cellIs" dxfId="35" priority="7" operator="greaterThan">
      <formula>0</formula>
    </cfRule>
  </conditionalFormatting>
  <conditionalFormatting sqref="O41:P41">
    <cfRule type="cellIs" dxfId="34" priority="6" operator="greaterThan">
      <formula>0</formula>
    </cfRule>
  </conditionalFormatting>
  <conditionalFormatting sqref="S42">
    <cfRule type="cellIs" dxfId="33" priority="4" operator="greaterThan">
      <formula>0</formula>
    </cfRule>
  </conditionalFormatting>
  <conditionalFormatting sqref="R42">
    <cfRule type="cellIs" dxfId="32" priority="3" operator="greaterThan">
      <formula>0</formula>
    </cfRule>
  </conditionalFormatting>
  <conditionalFormatting sqref="O42:P42">
    <cfRule type="cellIs" dxfId="31" priority="2" operator="greaterThan">
      <formula>0</formula>
    </cfRule>
  </conditionalFormatting>
  <conditionalFormatting sqref="T42">
    <cfRule type="cellIs" dxfId="30" priority="1" operator="greaterThan">
      <formula>0</formula>
    </cfRule>
  </conditionalFormatting>
  <dataValidations count="3">
    <dataValidation type="list" allowBlank="1" showInputMessage="1" showErrorMessage="1" promptTitle="Selecteer" prompt="Selecteer uit de lijst een categorie schoonmaak _x000d_medewerker" sqref="R13" xr:uid="{C3BC93C8-E7A5-9C4B-AD69-7A34A1FA6C4C}">
      <formula1>$K$79:$K$118</formula1>
    </dataValidation>
    <dataValidation type="list" allowBlank="1" showInputMessage="1" showErrorMessage="1" promptTitle="Selecteer" prompt="Selecteer uit de lijst een categorie schoonmaak _x000d_medewerker" sqref="X13:Y13 N13:P13 T13:V13" xr:uid="{A8B15222-0217-4C4E-A996-690095EC3972}">
      <formula1>$K$82:$K$119</formula1>
    </dataValidation>
    <dataValidation type="list" allowBlank="1" showInputMessage="1" showErrorMessage="1" sqref="X15:Y15 N15:P15 R15 T15:V15" xr:uid="{302E3468-44AF-7541-9FB9-1A041EE5250D}">
      <formula1>$K$121:$K$125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1" orientation="landscape" r:id="rId1"/>
  <headerFooter>
    <oddHeader>&amp;L&amp;C&amp;R</oddHeader>
    <oddFooter>&amp;L&amp;"Verdana,Standaard"&amp;K000000&amp;F-&amp;A&amp;R&amp;"Verdana,Standaard"&amp;K000000printversie &amp;D</oddFooter>
  </headerFooter>
  <picture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0" ma:contentTypeDescription="Een nieuw document maken." ma:contentTypeScope="" ma:versionID="69b17e3bc2dc35a19e58bd5bdec616bf">
  <xsd:schema xmlns:xsd="http://www.w3.org/2001/XMLSchema" xmlns:xs="http://www.w3.org/2001/XMLSchema" xmlns:p="http://schemas.microsoft.com/office/2006/metadata/properties" xmlns:ns2="51cc83ab-f51a-4237-b258-011a094d6bf8" xmlns:ns3="eb25c2c3-8421-4308-b678-2d346ddde131" targetNamespace="http://schemas.microsoft.com/office/2006/metadata/properties" ma:root="true" ma:fieldsID="cd1675335c303d8b409b90060509728f" ns2:_="" ns3:_=""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cf3faf1-42ca-400c-b73e-7223a5c5ded5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530C23-6355-4C47-86EA-14D6031E4277}">
  <ds:schemaRefs>
    <ds:schemaRef ds:uri="http://schemas.microsoft.com/office/2006/metadata/properties"/>
    <ds:schemaRef ds:uri="http://schemas.microsoft.com/office/infopath/2007/PartnerControls"/>
    <ds:schemaRef ds:uri="51cc83ab-f51a-4237-b258-011a094d6bf8"/>
    <ds:schemaRef ds:uri="eb25c2c3-8421-4308-b678-2d346ddde131"/>
  </ds:schemaRefs>
</ds:datastoreItem>
</file>

<file path=customXml/itemProps2.xml><?xml version="1.0" encoding="utf-8"?>
<ds:datastoreItem xmlns:ds="http://schemas.openxmlformats.org/officeDocument/2006/customXml" ds:itemID="{8E4ADA3F-7B23-4EE3-9FE6-1A0D8A5FCD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72323-6046-4D21-A6CF-DDF72439F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31</vt:i4>
      </vt:variant>
    </vt:vector>
  </HeadingPairs>
  <TitlesOfParts>
    <vt:vector size="37" baseType="lpstr">
      <vt:lpstr>Voorblad</vt:lpstr>
      <vt:lpstr>1.0-Contractblad</vt:lpstr>
      <vt:lpstr>1.2-Jaarprijzen</vt:lpstr>
      <vt:lpstr>1.3-Kengetal</vt:lpstr>
      <vt:lpstr>1.4-Basis ruimtestaat</vt:lpstr>
      <vt:lpstr>1.5-Opbouw uurtarieven</vt:lpstr>
      <vt:lpstr>'1.0-Contractblad'!Afdrukbereik</vt:lpstr>
      <vt:lpstr>'1.2-Jaarprijzen'!Afdrukbereik</vt:lpstr>
      <vt:lpstr>'1.3-Kengetal'!Afdrukbereik</vt:lpstr>
      <vt:lpstr>'1.5-Opbouw uurtarieven'!Afdrukbereik</vt:lpstr>
      <vt:lpstr>'1.0-Contractblad'!Afdruktitels</vt:lpstr>
      <vt:lpstr>'1.3-Kengetal'!Afdruktitels</vt:lpstr>
      <vt:lpstr>'1.4-Basis ruimtestaat'!Afdruktitels</vt:lpstr>
      <vt:lpstr>Allelocaties</vt:lpstr>
      <vt:lpstr>'1.5-Opbouw uurtarieven'!BasisTarief</vt:lpstr>
      <vt:lpstr>basistarieftoez</vt:lpstr>
      <vt:lpstr>basistariefuit</vt:lpstr>
      <vt:lpstr>'1.5-Opbouw uurtarieven'!CatMedewschoonmaak</vt:lpstr>
      <vt:lpstr>Database</vt:lpstr>
      <vt:lpstr>database2</vt:lpstr>
      <vt:lpstr>Kengetal</vt:lpstr>
      <vt:lpstr>LOCATIE</vt:lpstr>
      <vt:lpstr>'1.5-Opbouw uurtarieven'!Loongroepen</vt:lpstr>
      <vt:lpstr>Meters</vt:lpstr>
      <vt:lpstr>Perceel</vt:lpstr>
      <vt:lpstr>PERCEEL2</vt:lpstr>
      <vt:lpstr>'1.5-Opbouw uurtarieven'!Tabel</vt:lpstr>
      <vt:lpstr>TariefGLAS</vt:lpstr>
      <vt:lpstr>'1.5-Opbouw uurtarieven'!tariefschoonmaak</vt:lpstr>
      <vt:lpstr>tariefSMO</vt:lpstr>
      <vt:lpstr>tariefTZ</vt:lpstr>
      <vt:lpstr>tarievenglas</vt:lpstr>
      <vt:lpstr>Totaal</vt:lpstr>
      <vt:lpstr>Totaal2</vt:lpstr>
      <vt:lpstr>UREMAVR</vt:lpstr>
      <vt:lpstr>URENEWEEKEND</vt:lpstr>
      <vt:lpstr>URENNALOOP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 van leijen</dc:creator>
  <cp:keywords/>
  <dc:description/>
  <cp:lastModifiedBy>Malissa van Rijn</cp:lastModifiedBy>
  <cp:revision/>
  <dcterms:created xsi:type="dcterms:W3CDTF">1999-10-05T12:28:40Z</dcterms:created>
  <dcterms:modified xsi:type="dcterms:W3CDTF">2023-03-29T16:26:41Z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