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SCOH/01 Aanbesteding 2023/2. Inschrijfdocumenten/4. Publicatie documenten/"/>
    </mc:Choice>
  </mc:AlternateContent>
  <xr:revisionPtr revIDLastSave="4" documentId="8_{311AAE63-FDA7-48C1-BCB4-613A35AB685E}" xr6:coauthVersionLast="47" xr6:coauthVersionMax="47" xr10:uidLastSave="{2212E408-8D3B-452A-B83B-F700CE550062}"/>
  <bookViews>
    <workbookView xWindow="2868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e voorzieningen" sheetId="42" r:id="rId11"/>
  </sheets>
  <externalReferences>
    <externalReference r:id="rId12"/>
    <externalReference r:id="rId13"/>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'10-Glasbewassing'!$A$10:$Y$41</definedName>
    <definedName name="_xlnm._FilterDatabase" localSheetId="10" hidden="1">'11-Sanitaire voorzieningen'!$A$10:$O$36</definedName>
    <definedName name="_xlnm._FilterDatabase" localSheetId="1" hidden="1">'2-Kosten per locatie'!$A$12:$J$23</definedName>
    <definedName name="_xlnm._FilterDatabase" localSheetId="3" hidden="1">'4-Basis ruimtestaat'!$B$9:$U$589</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locatie'!$A$3:$Z$23</definedName>
    <definedName name="_xlnm.Print_Area" localSheetId="3">'4-Basis ruimtestaat'!$B$3:$U$589</definedName>
    <definedName name="_xlnm.Print_Area" localSheetId="4">'5-Premies en opslagen'!$A$3:$E$55</definedName>
    <definedName name="_xlnm.Print_Area" localSheetId="5">'6-Opbouw uurtarief productie'!$A$1:$R$63</definedName>
    <definedName name="_xlnm.Print_Area" localSheetId="8">'9-Afroepprijs'!$A$3:$F$48</definedName>
    <definedName name="_xlnm.Print_Titles" localSheetId="9">'10-Glasbewassing'!$10:$10</definedName>
    <definedName name="_xlnm.Print_Titles" localSheetId="10">'11-Sanitaire voorzieningen'!$10:$10</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7" l="1"/>
  <c r="G15" i="37"/>
  <c r="G16" i="37"/>
  <c r="G17" i="37"/>
  <c r="G18" i="37"/>
  <c r="G19" i="37"/>
  <c r="G20" i="37"/>
  <c r="G21" i="37"/>
  <c r="F21" i="37"/>
  <c r="F14" i="37"/>
  <c r="F15" i="37"/>
  <c r="F16" i="37"/>
  <c r="F17" i="37"/>
  <c r="F18" i="37"/>
  <c r="F19" i="37"/>
  <c r="F20" i="37"/>
  <c r="B3" i="41"/>
  <c r="B4" i="41"/>
  <c r="B4" i="37"/>
  <c r="I20" i="28" l="1"/>
  <c r="I19" i="28"/>
  <c r="F13" i="31"/>
  <c r="F12" i="31"/>
  <c r="F11" i="31"/>
  <c r="B4" i="35" l="1"/>
  <c r="D39" i="35"/>
  <c r="D38" i="35"/>
  <c r="D37" i="35"/>
  <c r="D36" i="35"/>
  <c r="E36" i="35" s="1"/>
  <c r="D35" i="35"/>
  <c r="E35" i="35" s="1"/>
  <c r="D34" i="35"/>
  <c r="E34" i="35" s="1"/>
  <c r="D33" i="35"/>
  <c r="E33" i="35" s="1"/>
  <c r="D32" i="35"/>
  <c r="E32" i="35" s="1"/>
  <c r="D31" i="35"/>
  <c r="E31" i="35" s="1"/>
  <c r="D30" i="35"/>
  <c r="D29" i="35"/>
  <c r="E29" i="35" s="1"/>
  <c r="G29" i="35" s="1"/>
  <c r="D28" i="35"/>
  <c r="E28" i="35" s="1"/>
  <c r="D27" i="35"/>
  <c r="D26" i="35"/>
  <c r="D25" i="35"/>
  <c r="E25" i="35" s="1"/>
  <c r="D24" i="35"/>
  <c r="E24" i="35" s="1"/>
  <c r="D23" i="35"/>
  <c r="E23" i="35" s="1"/>
  <c r="D22" i="35"/>
  <c r="E22" i="35" s="1"/>
  <c r="D21" i="35"/>
  <c r="E21" i="35" s="1"/>
  <c r="E30" i="35" l="1"/>
  <c r="G30" i="35" s="1"/>
  <c r="E27" i="35"/>
  <c r="G27" i="35" s="1"/>
  <c r="E26" i="35"/>
  <c r="G26" i="35" s="1"/>
  <c r="G21" i="35"/>
  <c r="E39" i="35"/>
  <c r="G39" i="35" s="1"/>
  <c r="G25" i="35"/>
  <c r="E38" i="35"/>
  <c r="G38" i="35" s="1"/>
  <c r="E37" i="35"/>
  <c r="G37" i="35" s="1"/>
  <c r="G28" i="35"/>
  <c r="G31" i="35"/>
  <c r="G32" i="35"/>
  <c r="G34" i="35"/>
  <c r="G35" i="35"/>
  <c r="G36" i="35"/>
  <c r="G22" i="35"/>
  <c r="G23" i="35"/>
  <c r="G24" i="35"/>
  <c r="G33" i="35"/>
  <c r="H13" i="31"/>
  <c r="K31" i="2"/>
  <c r="U31" i="2" s="1"/>
  <c r="O31" i="2"/>
  <c r="Q31" i="2"/>
  <c r="K32" i="2"/>
  <c r="U32" i="2" s="1"/>
  <c r="O32" i="2"/>
  <c r="Q32" i="2"/>
  <c r="K33" i="2"/>
  <c r="U33" i="2" s="1"/>
  <c r="O33" i="2"/>
  <c r="Q33" i="2"/>
  <c r="K34" i="2"/>
  <c r="U34" i="2" s="1"/>
  <c r="O34" i="2"/>
  <c r="Q34" i="2"/>
  <c r="K35" i="2"/>
  <c r="U35" i="2" s="1"/>
  <c r="O35" i="2"/>
  <c r="Q35" i="2"/>
  <c r="K36" i="2"/>
  <c r="U36" i="2" s="1"/>
  <c r="K37" i="2"/>
  <c r="U37" i="2" s="1"/>
  <c r="O37" i="2"/>
  <c r="Q37" i="2"/>
  <c r="K38" i="2"/>
  <c r="U38" i="2" s="1"/>
  <c r="O38" i="2"/>
  <c r="Q38" i="2"/>
  <c r="K39" i="2"/>
  <c r="U39" i="2" s="1"/>
  <c r="O39" i="2"/>
  <c r="Q39" i="2"/>
  <c r="K40" i="2"/>
  <c r="U40" i="2" s="1"/>
  <c r="K41" i="2"/>
  <c r="U41" i="2" s="1"/>
  <c r="O41" i="2"/>
  <c r="Q41" i="2"/>
  <c r="K42" i="2"/>
  <c r="U42" i="2" s="1"/>
  <c r="O42" i="2"/>
  <c r="Q42" i="2"/>
  <c r="K43" i="2"/>
  <c r="U43" i="2" s="1"/>
  <c r="O43" i="2"/>
  <c r="Q43" i="2"/>
  <c r="K44" i="2"/>
  <c r="U44" i="2" s="1"/>
  <c r="O44" i="2"/>
  <c r="Q44" i="2"/>
  <c r="K45" i="2"/>
  <c r="U45" i="2" s="1"/>
  <c r="O45" i="2"/>
  <c r="Q45" i="2"/>
  <c r="K46" i="2"/>
  <c r="U46" i="2" s="1"/>
  <c r="O46" i="2"/>
  <c r="Q46" i="2"/>
  <c r="K47" i="2"/>
  <c r="U47" i="2" s="1"/>
  <c r="O47" i="2"/>
  <c r="Q47" i="2"/>
  <c r="K48" i="2"/>
  <c r="U48" i="2" s="1"/>
  <c r="O48" i="2"/>
  <c r="Q48" i="2"/>
  <c r="K49" i="2"/>
  <c r="U49" i="2" s="1"/>
  <c r="O49" i="2"/>
  <c r="Q49" i="2"/>
  <c r="K50" i="2"/>
  <c r="U50" i="2" s="1"/>
  <c r="K51" i="2"/>
  <c r="U51" i="2" s="1"/>
  <c r="K52" i="2"/>
  <c r="U52" i="2" s="1"/>
  <c r="O52" i="2"/>
  <c r="Q52" i="2"/>
  <c r="K53" i="2"/>
  <c r="U53" i="2" s="1"/>
  <c r="O53" i="2"/>
  <c r="Q53" i="2"/>
  <c r="K54" i="2"/>
  <c r="U54" i="2" s="1"/>
  <c r="O54" i="2"/>
  <c r="Q54" i="2"/>
  <c r="K55" i="2"/>
  <c r="U55" i="2" s="1"/>
  <c r="O55" i="2"/>
  <c r="Q55" i="2"/>
  <c r="K56" i="2"/>
  <c r="U56" i="2" s="1"/>
  <c r="O56" i="2"/>
  <c r="Q56" i="2"/>
  <c r="K57" i="2"/>
  <c r="U57" i="2" s="1"/>
  <c r="O57" i="2"/>
  <c r="Q57" i="2"/>
  <c r="K58" i="2"/>
  <c r="U58" i="2" s="1"/>
  <c r="O58" i="2"/>
  <c r="Q58" i="2"/>
  <c r="K59" i="2"/>
  <c r="U59" i="2" s="1"/>
  <c r="O59" i="2"/>
  <c r="Q59" i="2"/>
  <c r="K60" i="2"/>
  <c r="U60" i="2" s="1"/>
  <c r="O60" i="2"/>
  <c r="Q60" i="2"/>
  <c r="K61" i="2"/>
  <c r="U61" i="2" s="1"/>
  <c r="O61" i="2"/>
  <c r="Q61" i="2"/>
  <c r="K62" i="2"/>
  <c r="U62" i="2" s="1"/>
  <c r="O62" i="2"/>
  <c r="Q62" i="2"/>
  <c r="K63" i="2"/>
  <c r="U63" i="2" s="1"/>
  <c r="O63" i="2"/>
  <c r="Q63" i="2"/>
  <c r="K64" i="2"/>
  <c r="U64" i="2" s="1"/>
  <c r="K65" i="2"/>
  <c r="U65" i="2" s="1"/>
  <c r="K66" i="2"/>
  <c r="U66" i="2" s="1"/>
  <c r="K67" i="2"/>
  <c r="U67" i="2" s="1"/>
  <c r="O67" i="2"/>
  <c r="Q67" i="2"/>
  <c r="K68" i="2"/>
  <c r="U68" i="2" s="1"/>
  <c r="O68" i="2"/>
  <c r="Q68" i="2"/>
  <c r="K69" i="2"/>
  <c r="U69" i="2" s="1"/>
  <c r="O69" i="2"/>
  <c r="Q69" i="2"/>
  <c r="K70" i="2"/>
  <c r="U70" i="2" s="1"/>
  <c r="O70" i="2"/>
  <c r="Q70" i="2"/>
  <c r="K71" i="2"/>
  <c r="U71" i="2" s="1"/>
  <c r="O71" i="2"/>
  <c r="Q71" i="2"/>
  <c r="K72" i="2"/>
  <c r="U72" i="2" s="1"/>
  <c r="K73" i="2"/>
  <c r="U73" i="2" s="1"/>
  <c r="O73" i="2"/>
  <c r="Q73" i="2"/>
  <c r="K74" i="2"/>
  <c r="U74" i="2" s="1"/>
  <c r="O74" i="2"/>
  <c r="Q74" i="2"/>
  <c r="K75" i="2"/>
  <c r="U75" i="2" s="1"/>
  <c r="K76" i="2"/>
  <c r="U76" i="2" s="1"/>
  <c r="O76" i="2"/>
  <c r="Q76" i="2"/>
  <c r="K77" i="2"/>
  <c r="U77" i="2" s="1"/>
  <c r="K78" i="2"/>
  <c r="U78" i="2" s="1"/>
  <c r="O78" i="2"/>
  <c r="Q78" i="2"/>
  <c r="K79" i="2"/>
  <c r="U79" i="2" s="1"/>
  <c r="O79" i="2"/>
  <c r="Q79" i="2"/>
  <c r="K80" i="2"/>
  <c r="U80" i="2" s="1"/>
  <c r="O80" i="2"/>
  <c r="Q80" i="2"/>
  <c r="K81" i="2"/>
  <c r="U81" i="2" s="1"/>
  <c r="O81" i="2"/>
  <c r="Q81" i="2"/>
  <c r="K82" i="2"/>
  <c r="U82" i="2" s="1"/>
  <c r="O82" i="2"/>
  <c r="Q82" i="2"/>
  <c r="K83" i="2"/>
  <c r="U83" i="2" s="1"/>
  <c r="O83" i="2"/>
  <c r="Q83" i="2"/>
  <c r="K84" i="2"/>
  <c r="U84" i="2" s="1"/>
  <c r="K85" i="2"/>
  <c r="U85" i="2" s="1"/>
  <c r="O85" i="2"/>
  <c r="Q85" i="2"/>
  <c r="K86" i="2"/>
  <c r="U86" i="2" s="1"/>
  <c r="O86" i="2"/>
  <c r="Q86" i="2"/>
  <c r="K87" i="2"/>
  <c r="U87" i="2" s="1"/>
  <c r="O87" i="2"/>
  <c r="Q87" i="2"/>
  <c r="K88" i="2"/>
  <c r="U88" i="2" s="1"/>
  <c r="O88" i="2"/>
  <c r="Q88" i="2"/>
  <c r="K89" i="2"/>
  <c r="U89" i="2" s="1"/>
  <c r="O89" i="2"/>
  <c r="Q89" i="2"/>
  <c r="K90" i="2"/>
  <c r="U90" i="2" s="1"/>
  <c r="O90" i="2"/>
  <c r="Q90" i="2"/>
  <c r="K91" i="2"/>
  <c r="U91" i="2" s="1"/>
  <c r="O91" i="2"/>
  <c r="Q91" i="2"/>
  <c r="K92" i="2"/>
  <c r="U92" i="2" s="1"/>
  <c r="O92" i="2"/>
  <c r="Q92" i="2"/>
  <c r="K93" i="2"/>
  <c r="U93" i="2" s="1"/>
  <c r="O93" i="2"/>
  <c r="Q93" i="2"/>
  <c r="K94" i="2"/>
  <c r="U94" i="2" s="1"/>
  <c r="O94" i="2"/>
  <c r="Q94" i="2"/>
  <c r="K95" i="2"/>
  <c r="U95" i="2" s="1"/>
  <c r="O95" i="2"/>
  <c r="Q95" i="2"/>
  <c r="K96" i="2"/>
  <c r="U96" i="2" s="1"/>
  <c r="O96" i="2"/>
  <c r="Q96" i="2"/>
  <c r="K97" i="2"/>
  <c r="U97" i="2" s="1"/>
  <c r="O97" i="2"/>
  <c r="Q97" i="2"/>
  <c r="K98" i="2"/>
  <c r="U98" i="2" s="1"/>
  <c r="O98" i="2"/>
  <c r="Q98" i="2"/>
  <c r="K99" i="2"/>
  <c r="U99" i="2" s="1"/>
  <c r="O99" i="2"/>
  <c r="Q99" i="2"/>
  <c r="K100" i="2"/>
  <c r="U100" i="2" s="1"/>
  <c r="O100" i="2"/>
  <c r="Q100" i="2"/>
  <c r="K101" i="2"/>
  <c r="U101" i="2" s="1"/>
  <c r="O101" i="2"/>
  <c r="Q101" i="2"/>
  <c r="K102" i="2"/>
  <c r="U102" i="2" s="1"/>
  <c r="O102" i="2"/>
  <c r="Q102" i="2"/>
  <c r="K103" i="2"/>
  <c r="U103" i="2" s="1"/>
  <c r="O103" i="2"/>
  <c r="Q103" i="2"/>
  <c r="K104" i="2"/>
  <c r="U104" i="2" s="1"/>
  <c r="O104" i="2"/>
  <c r="Q104" i="2"/>
  <c r="K105" i="2"/>
  <c r="U105" i="2" s="1"/>
  <c r="O105" i="2"/>
  <c r="Q105" i="2"/>
  <c r="K106" i="2"/>
  <c r="U106" i="2" s="1"/>
  <c r="O106" i="2"/>
  <c r="Q106" i="2"/>
  <c r="K107" i="2"/>
  <c r="U107" i="2" s="1"/>
  <c r="O107" i="2"/>
  <c r="Q107" i="2"/>
  <c r="K108" i="2"/>
  <c r="U108" i="2" s="1"/>
  <c r="O108" i="2"/>
  <c r="Q108" i="2"/>
  <c r="K109" i="2"/>
  <c r="U109" i="2" s="1"/>
  <c r="O109" i="2"/>
  <c r="Q109" i="2"/>
  <c r="K110" i="2"/>
  <c r="U110" i="2" s="1"/>
  <c r="O110" i="2"/>
  <c r="Q110" i="2"/>
  <c r="K111" i="2"/>
  <c r="U111" i="2" s="1"/>
  <c r="O111" i="2"/>
  <c r="Q111" i="2"/>
  <c r="K112" i="2"/>
  <c r="U112" i="2" s="1"/>
  <c r="O112" i="2"/>
  <c r="Q112" i="2"/>
  <c r="K113" i="2"/>
  <c r="U113" i="2" s="1"/>
  <c r="O113" i="2"/>
  <c r="Q113" i="2"/>
  <c r="K114" i="2"/>
  <c r="U114" i="2" s="1"/>
  <c r="O114" i="2"/>
  <c r="Q114" i="2"/>
  <c r="K115" i="2"/>
  <c r="U115" i="2" s="1"/>
  <c r="O115" i="2"/>
  <c r="Q115" i="2"/>
  <c r="K116" i="2"/>
  <c r="U116" i="2" s="1"/>
  <c r="O116" i="2"/>
  <c r="Q116" i="2"/>
  <c r="K117" i="2"/>
  <c r="U117" i="2" s="1"/>
  <c r="O117" i="2"/>
  <c r="Q117" i="2"/>
  <c r="K118" i="2"/>
  <c r="U118" i="2" s="1"/>
  <c r="O118" i="2"/>
  <c r="Q118" i="2"/>
  <c r="K119" i="2"/>
  <c r="U119" i="2" s="1"/>
  <c r="O119" i="2"/>
  <c r="Q119" i="2"/>
  <c r="K120" i="2"/>
  <c r="U120" i="2" s="1"/>
  <c r="O120" i="2"/>
  <c r="Q120" i="2"/>
  <c r="K121" i="2"/>
  <c r="U121" i="2" s="1"/>
  <c r="O121" i="2"/>
  <c r="Q121" i="2"/>
  <c r="K122" i="2"/>
  <c r="U122" i="2" s="1"/>
  <c r="O122" i="2"/>
  <c r="Q122" i="2"/>
  <c r="K123" i="2"/>
  <c r="U123" i="2" s="1"/>
  <c r="O123" i="2"/>
  <c r="Q123" i="2"/>
  <c r="K124" i="2"/>
  <c r="U124" i="2" s="1"/>
  <c r="O124" i="2"/>
  <c r="Q124" i="2"/>
  <c r="K125" i="2"/>
  <c r="U125" i="2" s="1"/>
  <c r="O125" i="2"/>
  <c r="Q125" i="2"/>
  <c r="K126" i="2"/>
  <c r="U126" i="2" s="1"/>
  <c r="O126" i="2"/>
  <c r="Q126" i="2"/>
  <c r="K127" i="2"/>
  <c r="U127" i="2" s="1"/>
  <c r="O127" i="2"/>
  <c r="Q127" i="2"/>
  <c r="K128" i="2"/>
  <c r="U128" i="2" s="1"/>
  <c r="O128" i="2"/>
  <c r="Q128" i="2"/>
  <c r="K129" i="2"/>
  <c r="U129" i="2" s="1"/>
  <c r="O129" i="2"/>
  <c r="Q129" i="2"/>
  <c r="K130" i="2"/>
  <c r="U130" i="2" s="1"/>
  <c r="O130" i="2"/>
  <c r="Q130" i="2"/>
  <c r="K131" i="2"/>
  <c r="U131" i="2" s="1"/>
  <c r="O131" i="2"/>
  <c r="Q131" i="2"/>
  <c r="K132" i="2"/>
  <c r="U132" i="2" s="1"/>
  <c r="O132" i="2"/>
  <c r="Q132" i="2"/>
  <c r="K133" i="2"/>
  <c r="U133" i="2" s="1"/>
  <c r="O133" i="2"/>
  <c r="Q133" i="2"/>
  <c r="K134" i="2"/>
  <c r="U134" i="2" s="1"/>
  <c r="O134" i="2"/>
  <c r="Q134" i="2"/>
  <c r="K135" i="2"/>
  <c r="U135" i="2" s="1"/>
  <c r="O135" i="2"/>
  <c r="Q135" i="2"/>
  <c r="K136" i="2"/>
  <c r="U136" i="2" s="1"/>
  <c r="O136" i="2"/>
  <c r="Q136" i="2"/>
  <c r="K137" i="2"/>
  <c r="U137" i="2" s="1"/>
  <c r="O137" i="2"/>
  <c r="Q137" i="2"/>
  <c r="K138" i="2"/>
  <c r="U138" i="2" s="1"/>
  <c r="O138" i="2"/>
  <c r="Q138" i="2"/>
  <c r="K139" i="2"/>
  <c r="U139" i="2" s="1"/>
  <c r="O139" i="2"/>
  <c r="Q139" i="2"/>
  <c r="K140" i="2"/>
  <c r="U140" i="2" s="1"/>
  <c r="O140" i="2"/>
  <c r="Q140" i="2"/>
  <c r="K141" i="2"/>
  <c r="U141" i="2" s="1"/>
  <c r="O141" i="2"/>
  <c r="Q141" i="2"/>
  <c r="K142" i="2"/>
  <c r="U142" i="2" s="1"/>
  <c r="O142" i="2"/>
  <c r="Q142" i="2"/>
  <c r="K143" i="2"/>
  <c r="U143" i="2" s="1"/>
  <c r="O143" i="2"/>
  <c r="Q143" i="2"/>
  <c r="K144" i="2"/>
  <c r="U144" i="2" s="1"/>
  <c r="O144" i="2"/>
  <c r="Q144" i="2"/>
  <c r="K145" i="2"/>
  <c r="U145" i="2" s="1"/>
  <c r="O145" i="2"/>
  <c r="Q145" i="2"/>
  <c r="K146" i="2"/>
  <c r="U146" i="2" s="1"/>
  <c r="O146" i="2"/>
  <c r="Q146" i="2"/>
  <c r="K147" i="2"/>
  <c r="U147" i="2" s="1"/>
  <c r="O147" i="2"/>
  <c r="Q147" i="2"/>
  <c r="K148" i="2"/>
  <c r="U148" i="2" s="1"/>
  <c r="O148" i="2"/>
  <c r="Q148" i="2"/>
  <c r="K149" i="2"/>
  <c r="U149" i="2" s="1"/>
  <c r="O149" i="2"/>
  <c r="Q149" i="2"/>
  <c r="K150" i="2"/>
  <c r="U150" i="2" s="1"/>
  <c r="O150" i="2"/>
  <c r="Q150" i="2"/>
  <c r="K151" i="2"/>
  <c r="U151" i="2" s="1"/>
  <c r="O151" i="2"/>
  <c r="Q151" i="2"/>
  <c r="K152" i="2"/>
  <c r="U152" i="2" s="1"/>
  <c r="O152" i="2"/>
  <c r="Q152" i="2"/>
  <c r="K153" i="2"/>
  <c r="U153" i="2" s="1"/>
  <c r="O153" i="2"/>
  <c r="Q153" i="2"/>
  <c r="K154" i="2"/>
  <c r="U154" i="2" s="1"/>
  <c r="O154" i="2"/>
  <c r="Q154" i="2"/>
  <c r="K155" i="2"/>
  <c r="U155" i="2" s="1"/>
  <c r="O155" i="2"/>
  <c r="Q155" i="2"/>
  <c r="K156" i="2"/>
  <c r="U156" i="2" s="1"/>
  <c r="O156" i="2"/>
  <c r="Q156" i="2"/>
  <c r="K157" i="2"/>
  <c r="U157" i="2" s="1"/>
  <c r="O157" i="2"/>
  <c r="Q157" i="2"/>
  <c r="K158" i="2"/>
  <c r="U158" i="2" s="1"/>
  <c r="O158" i="2"/>
  <c r="Q158" i="2"/>
  <c r="K159" i="2"/>
  <c r="U159" i="2" s="1"/>
  <c r="O159" i="2"/>
  <c r="Q159" i="2"/>
  <c r="K160" i="2"/>
  <c r="U160" i="2" s="1"/>
  <c r="O160" i="2"/>
  <c r="Q160" i="2"/>
  <c r="K161" i="2"/>
  <c r="U161" i="2" s="1"/>
  <c r="O161" i="2"/>
  <c r="Q161" i="2"/>
  <c r="K162" i="2"/>
  <c r="U162" i="2" s="1"/>
  <c r="O162" i="2"/>
  <c r="Q162" i="2"/>
  <c r="K163" i="2"/>
  <c r="U163" i="2" s="1"/>
  <c r="O163" i="2"/>
  <c r="Q163" i="2"/>
  <c r="K164" i="2"/>
  <c r="U164" i="2" s="1"/>
  <c r="O164" i="2"/>
  <c r="Q164" i="2"/>
  <c r="K165" i="2"/>
  <c r="U165" i="2" s="1"/>
  <c r="O165" i="2"/>
  <c r="Q165" i="2"/>
  <c r="K166" i="2"/>
  <c r="U166" i="2" s="1"/>
  <c r="O166" i="2"/>
  <c r="Q166" i="2"/>
  <c r="K167" i="2"/>
  <c r="U167" i="2" s="1"/>
  <c r="O167" i="2"/>
  <c r="Q167" i="2"/>
  <c r="K168" i="2"/>
  <c r="U168" i="2" s="1"/>
  <c r="O168" i="2"/>
  <c r="Q168" i="2"/>
  <c r="K169" i="2"/>
  <c r="U169" i="2" s="1"/>
  <c r="O169" i="2"/>
  <c r="Q169" i="2"/>
  <c r="K170" i="2"/>
  <c r="U170" i="2" s="1"/>
  <c r="O170" i="2"/>
  <c r="Q170" i="2"/>
  <c r="K171" i="2"/>
  <c r="U171" i="2" s="1"/>
  <c r="O171" i="2"/>
  <c r="Q171" i="2"/>
  <c r="K172" i="2"/>
  <c r="U172" i="2" s="1"/>
  <c r="O172" i="2"/>
  <c r="Q172" i="2"/>
  <c r="K173" i="2"/>
  <c r="U173" i="2" s="1"/>
  <c r="O173" i="2"/>
  <c r="Q173" i="2"/>
  <c r="K174" i="2"/>
  <c r="U174" i="2" s="1"/>
  <c r="O174" i="2"/>
  <c r="Q174" i="2"/>
  <c r="K175" i="2"/>
  <c r="U175" i="2" s="1"/>
  <c r="O175" i="2"/>
  <c r="Q175" i="2"/>
  <c r="K176" i="2"/>
  <c r="U176" i="2" s="1"/>
  <c r="O176" i="2"/>
  <c r="Q176" i="2"/>
  <c r="K177" i="2"/>
  <c r="U177" i="2" s="1"/>
  <c r="O177" i="2"/>
  <c r="Q177" i="2"/>
  <c r="K178" i="2"/>
  <c r="U178" i="2" s="1"/>
  <c r="O178" i="2"/>
  <c r="Q178" i="2"/>
  <c r="K179" i="2"/>
  <c r="U179" i="2" s="1"/>
  <c r="O179" i="2"/>
  <c r="Q179" i="2"/>
  <c r="K180" i="2"/>
  <c r="U180" i="2" s="1"/>
  <c r="O180" i="2"/>
  <c r="Q180" i="2"/>
  <c r="K181" i="2"/>
  <c r="U181" i="2" s="1"/>
  <c r="O181" i="2"/>
  <c r="Q181" i="2"/>
  <c r="K182" i="2"/>
  <c r="U182" i="2" s="1"/>
  <c r="O182" i="2"/>
  <c r="Q182" i="2"/>
  <c r="K183" i="2"/>
  <c r="U183" i="2" s="1"/>
  <c r="O183" i="2"/>
  <c r="Q183" i="2"/>
  <c r="K184" i="2"/>
  <c r="U184" i="2" s="1"/>
  <c r="O184" i="2"/>
  <c r="Q184" i="2"/>
  <c r="K185" i="2"/>
  <c r="U185" i="2" s="1"/>
  <c r="O185" i="2"/>
  <c r="Q185" i="2"/>
  <c r="K186" i="2"/>
  <c r="U186" i="2" s="1"/>
  <c r="O186" i="2"/>
  <c r="Q186" i="2"/>
  <c r="K187" i="2"/>
  <c r="U187" i="2" s="1"/>
  <c r="O187" i="2"/>
  <c r="Q187" i="2"/>
  <c r="K188" i="2"/>
  <c r="U188" i="2" s="1"/>
  <c r="O188" i="2"/>
  <c r="Q188" i="2"/>
  <c r="K189" i="2"/>
  <c r="U189" i="2" s="1"/>
  <c r="O189" i="2"/>
  <c r="Q189" i="2"/>
  <c r="K190" i="2"/>
  <c r="U190" i="2" s="1"/>
  <c r="O190" i="2"/>
  <c r="Q190" i="2"/>
  <c r="K191" i="2"/>
  <c r="U191" i="2" s="1"/>
  <c r="O191" i="2"/>
  <c r="Q191" i="2"/>
  <c r="K192" i="2"/>
  <c r="U192" i="2" s="1"/>
  <c r="O192" i="2"/>
  <c r="Q192" i="2"/>
  <c r="K193" i="2"/>
  <c r="U193" i="2" s="1"/>
  <c r="O193" i="2"/>
  <c r="Q193" i="2"/>
  <c r="K194" i="2"/>
  <c r="U194" i="2" s="1"/>
  <c r="O194" i="2"/>
  <c r="Q194" i="2"/>
  <c r="K195" i="2"/>
  <c r="U195" i="2" s="1"/>
  <c r="O195" i="2"/>
  <c r="Q195" i="2"/>
  <c r="K196" i="2"/>
  <c r="U196" i="2" s="1"/>
  <c r="O196" i="2"/>
  <c r="Q196" i="2"/>
  <c r="K197" i="2"/>
  <c r="U197" i="2" s="1"/>
  <c r="O197" i="2"/>
  <c r="Q197" i="2"/>
  <c r="K198" i="2"/>
  <c r="U198" i="2" s="1"/>
  <c r="O198" i="2"/>
  <c r="Q198" i="2"/>
  <c r="K199" i="2"/>
  <c r="U199" i="2" s="1"/>
  <c r="O199" i="2"/>
  <c r="Q199" i="2"/>
  <c r="K200" i="2"/>
  <c r="U200" i="2" s="1"/>
  <c r="O200" i="2"/>
  <c r="Q200" i="2"/>
  <c r="K201" i="2"/>
  <c r="U201" i="2" s="1"/>
  <c r="O201" i="2"/>
  <c r="Q201" i="2"/>
  <c r="K202" i="2"/>
  <c r="U202" i="2" s="1"/>
  <c r="O202" i="2"/>
  <c r="Q202" i="2"/>
  <c r="K203" i="2"/>
  <c r="U203" i="2" s="1"/>
  <c r="O203" i="2"/>
  <c r="Q203" i="2"/>
  <c r="K204" i="2"/>
  <c r="U204" i="2" s="1"/>
  <c r="O204" i="2"/>
  <c r="Q204" i="2"/>
  <c r="K205" i="2"/>
  <c r="U205" i="2" s="1"/>
  <c r="O205" i="2"/>
  <c r="Q205" i="2"/>
  <c r="K206" i="2"/>
  <c r="U206" i="2" s="1"/>
  <c r="O206" i="2"/>
  <c r="Q206" i="2"/>
  <c r="K207" i="2"/>
  <c r="U207" i="2" s="1"/>
  <c r="O207" i="2"/>
  <c r="Q207" i="2"/>
  <c r="K208" i="2"/>
  <c r="U208" i="2" s="1"/>
  <c r="O208" i="2"/>
  <c r="Q208" i="2"/>
  <c r="K209" i="2"/>
  <c r="U209" i="2" s="1"/>
  <c r="O209" i="2"/>
  <c r="Q209" i="2"/>
  <c r="K210" i="2"/>
  <c r="U210" i="2" s="1"/>
  <c r="O210" i="2"/>
  <c r="Q210" i="2"/>
  <c r="K211" i="2"/>
  <c r="U211" i="2" s="1"/>
  <c r="O211" i="2"/>
  <c r="Q211" i="2"/>
  <c r="K212" i="2"/>
  <c r="U212" i="2" s="1"/>
  <c r="O212" i="2"/>
  <c r="Q212" i="2"/>
  <c r="K213" i="2"/>
  <c r="U213" i="2" s="1"/>
  <c r="O213" i="2"/>
  <c r="Q213" i="2"/>
  <c r="K214" i="2"/>
  <c r="U214" i="2" s="1"/>
  <c r="O214" i="2"/>
  <c r="Q214" i="2"/>
  <c r="K215" i="2"/>
  <c r="U215" i="2" s="1"/>
  <c r="O215" i="2"/>
  <c r="Q215" i="2"/>
  <c r="K216" i="2"/>
  <c r="U216" i="2" s="1"/>
  <c r="O216" i="2"/>
  <c r="Q216" i="2"/>
  <c r="K217" i="2"/>
  <c r="U217" i="2" s="1"/>
  <c r="O217" i="2"/>
  <c r="Q217" i="2"/>
  <c r="K218" i="2"/>
  <c r="U218" i="2" s="1"/>
  <c r="O218" i="2"/>
  <c r="Q218" i="2"/>
  <c r="K219" i="2"/>
  <c r="U219" i="2" s="1"/>
  <c r="O219" i="2"/>
  <c r="Q219" i="2"/>
  <c r="K220" i="2"/>
  <c r="U220" i="2" s="1"/>
  <c r="O220" i="2"/>
  <c r="Q220" i="2"/>
  <c r="K221" i="2"/>
  <c r="U221" i="2" s="1"/>
  <c r="O221" i="2"/>
  <c r="Q221" i="2"/>
  <c r="K222" i="2"/>
  <c r="U222" i="2" s="1"/>
  <c r="O222" i="2"/>
  <c r="Q222" i="2"/>
  <c r="K223" i="2"/>
  <c r="U223" i="2" s="1"/>
  <c r="O223" i="2"/>
  <c r="Q223" i="2"/>
  <c r="K224" i="2"/>
  <c r="U224" i="2" s="1"/>
  <c r="O224" i="2"/>
  <c r="Q224" i="2"/>
  <c r="K225" i="2"/>
  <c r="U225" i="2" s="1"/>
  <c r="O225" i="2"/>
  <c r="Q225" i="2"/>
  <c r="K226" i="2"/>
  <c r="U226" i="2" s="1"/>
  <c r="O226" i="2"/>
  <c r="Q226" i="2"/>
  <c r="K227" i="2"/>
  <c r="U227" i="2" s="1"/>
  <c r="O227" i="2"/>
  <c r="Q227" i="2"/>
  <c r="K228" i="2"/>
  <c r="U228" i="2" s="1"/>
  <c r="O228" i="2"/>
  <c r="Q228" i="2"/>
  <c r="K229" i="2"/>
  <c r="U229" i="2" s="1"/>
  <c r="O229" i="2"/>
  <c r="Q229" i="2"/>
  <c r="K230" i="2"/>
  <c r="U230" i="2" s="1"/>
  <c r="O230" i="2"/>
  <c r="Q230" i="2"/>
  <c r="K231" i="2"/>
  <c r="U231" i="2" s="1"/>
  <c r="O231" i="2"/>
  <c r="Q231" i="2"/>
  <c r="K232" i="2"/>
  <c r="U232" i="2" s="1"/>
  <c r="O232" i="2"/>
  <c r="Q232" i="2"/>
  <c r="K233" i="2"/>
  <c r="U233" i="2" s="1"/>
  <c r="O233" i="2"/>
  <c r="Q233" i="2"/>
  <c r="K234" i="2"/>
  <c r="U234" i="2" s="1"/>
  <c r="O234" i="2"/>
  <c r="Q234" i="2"/>
  <c r="K235" i="2"/>
  <c r="U235" i="2" s="1"/>
  <c r="O235" i="2"/>
  <c r="Q235" i="2"/>
  <c r="K236" i="2"/>
  <c r="U236" i="2" s="1"/>
  <c r="O236" i="2"/>
  <c r="Q236" i="2"/>
  <c r="K237" i="2"/>
  <c r="U237" i="2" s="1"/>
  <c r="O237" i="2"/>
  <c r="Q237" i="2"/>
  <c r="K238" i="2"/>
  <c r="U238" i="2" s="1"/>
  <c r="O238" i="2"/>
  <c r="Q238" i="2"/>
  <c r="K239" i="2"/>
  <c r="U239" i="2" s="1"/>
  <c r="O239" i="2"/>
  <c r="Q239" i="2"/>
  <c r="K240" i="2"/>
  <c r="U240" i="2" s="1"/>
  <c r="O240" i="2"/>
  <c r="Q240" i="2"/>
  <c r="K241" i="2"/>
  <c r="U241" i="2" s="1"/>
  <c r="O241" i="2"/>
  <c r="Q241" i="2"/>
  <c r="K242" i="2"/>
  <c r="U242" i="2" s="1"/>
  <c r="O242" i="2"/>
  <c r="Q242" i="2"/>
  <c r="K243" i="2"/>
  <c r="U243" i="2" s="1"/>
  <c r="O243" i="2"/>
  <c r="Q243" i="2"/>
  <c r="K244" i="2"/>
  <c r="U244" i="2" s="1"/>
  <c r="O244" i="2"/>
  <c r="Q244" i="2"/>
  <c r="K245" i="2"/>
  <c r="U245" i="2" s="1"/>
  <c r="O245" i="2"/>
  <c r="Q245" i="2"/>
  <c r="K246" i="2"/>
  <c r="U246" i="2" s="1"/>
  <c r="O246" i="2"/>
  <c r="Q246" i="2"/>
  <c r="K247" i="2"/>
  <c r="U247" i="2" s="1"/>
  <c r="O247" i="2"/>
  <c r="Q247" i="2"/>
  <c r="K248" i="2"/>
  <c r="U248" i="2" s="1"/>
  <c r="O248" i="2"/>
  <c r="Q248" i="2"/>
  <c r="K249" i="2"/>
  <c r="U249" i="2" s="1"/>
  <c r="O249" i="2"/>
  <c r="Q249" i="2"/>
  <c r="K250" i="2"/>
  <c r="U250" i="2" s="1"/>
  <c r="O250" i="2"/>
  <c r="Q250" i="2"/>
  <c r="K251" i="2"/>
  <c r="U251" i="2" s="1"/>
  <c r="O251" i="2"/>
  <c r="Q251" i="2"/>
  <c r="K252" i="2"/>
  <c r="U252" i="2" s="1"/>
  <c r="O252" i="2"/>
  <c r="Q252" i="2"/>
  <c r="K253" i="2"/>
  <c r="U253" i="2" s="1"/>
  <c r="O253" i="2"/>
  <c r="Q253" i="2"/>
  <c r="K254" i="2"/>
  <c r="U254" i="2" s="1"/>
  <c r="O254" i="2"/>
  <c r="Q254" i="2"/>
  <c r="K255" i="2"/>
  <c r="U255" i="2" s="1"/>
  <c r="O255" i="2"/>
  <c r="Q255" i="2"/>
  <c r="K256" i="2"/>
  <c r="U256" i="2" s="1"/>
  <c r="O256" i="2"/>
  <c r="Q256" i="2"/>
  <c r="K257" i="2"/>
  <c r="U257" i="2" s="1"/>
  <c r="O257" i="2"/>
  <c r="Q257" i="2"/>
  <c r="K258" i="2"/>
  <c r="U258" i="2" s="1"/>
  <c r="O258" i="2"/>
  <c r="Q258" i="2"/>
  <c r="K259" i="2"/>
  <c r="U259" i="2" s="1"/>
  <c r="O259" i="2"/>
  <c r="Q259" i="2"/>
  <c r="K260" i="2"/>
  <c r="U260" i="2" s="1"/>
  <c r="O260" i="2"/>
  <c r="Q260" i="2"/>
  <c r="K261" i="2"/>
  <c r="U261" i="2" s="1"/>
  <c r="O261" i="2"/>
  <c r="Q261" i="2"/>
  <c r="K262" i="2"/>
  <c r="U262" i="2" s="1"/>
  <c r="O262" i="2"/>
  <c r="Q262" i="2"/>
  <c r="K263" i="2"/>
  <c r="U263" i="2" s="1"/>
  <c r="O263" i="2"/>
  <c r="Q263" i="2"/>
  <c r="K264" i="2"/>
  <c r="U264" i="2" s="1"/>
  <c r="O264" i="2"/>
  <c r="Q264" i="2"/>
  <c r="K265" i="2"/>
  <c r="U265" i="2" s="1"/>
  <c r="O265" i="2"/>
  <c r="Q265" i="2"/>
  <c r="K266" i="2"/>
  <c r="U266" i="2" s="1"/>
  <c r="O266" i="2"/>
  <c r="Q266" i="2"/>
  <c r="K267" i="2"/>
  <c r="U267" i="2" s="1"/>
  <c r="O267" i="2"/>
  <c r="Q267" i="2"/>
  <c r="K268" i="2"/>
  <c r="U268" i="2" s="1"/>
  <c r="O268" i="2"/>
  <c r="Q268" i="2"/>
  <c r="K269" i="2"/>
  <c r="U269" i="2" s="1"/>
  <c r="O269" i="2"/>
  <c r="Q269" i="2"/>
  <c r="K270" i="2"/>
  <c r="U270" i="2" s="1"/>
  <c r="O270" i="2"/>
  <c r="Q270" i="2"/>
  <c r="K271" i="2"/>
  <c r="U271" i="2" s="1"/>
  <c r="O271" i="2"/>
  <c r="Q271" i="2"/>
  <c r="K272" i="2"/>
  <c r="U272" i="2" s="1"/>
  <c r="O272" i="2"/>
  <c r="Q272" i="2"/>
  <c r="K273" i="2"/>
  <c r="U273" i="2" s="1"/>
  <c r="O273" i="2"/>
  <c r="Q273" i="2"/>
  <c r="K274" i="2"/>
  <c r="U274" i="2" s="1"/>
  <c r="O274" i="2"/>
  <c r="Q274" i="2"/>
  <c r="K275" i="2"/>
  <c r="U275" i="2" s="1"/>
  <c r="O275" i="2"/>
  <c r="Q275" i="2"/>
  <c r="K276" i="2"/>
  <c r="U276" i="2" s="1"/>
  <c r="O276" i="2"/>
  <c r="Q276" i="2"/>
  <c r="K277" i="2"/>
  <c r="U277" i="2" s="1"/>
  <c r="O277" i="2"/>
  <c r="Q277" i="2"/>
  <c r="K278" i="2"/>
  <c r="U278" i="2" s="1"/>
  <c r="O278" i="2"/>
  <c r="Q278" i="2"/>
  <c r="K279" i="2"/>
  <c r="U279" i="2" s="1"/>
  <c r="O279" i="2"/>
  <c r="Q279" i="2"/>
  <c r="K280" i="2"/>
  <c r="U280" i="2" s="1"/>
  <c r="O280" i="2"/>
  <c r="Q280" i="2"/>
  <c r="K281" i="2"/>
  <c r="U281" i="2" s="1"/>
  <c r="O281" i="2"/>
  <c r="Q281" i="2"/>
  <c r="K282" i="2"/>
  <c r="U282" i="2" s="1"/>
  <c r="O282" i="2"/>
  <c r="Q282" i="2"/>
  <c r="K283" i="2"/>
  <c r="U283" i="2" s="1"/>
  <c r="O283" i="2"/>
  <c r="Q283" i="2"/>
  <c r="K284" i="2"/>
  <c r="U284" i="2" s="1"/>
  <c r="O284" i="2"/>
  <c r="Q284" i="2"/>
  <c r="K285" i="2"/>
  <c r="U285" i="2" s="1"/>
  <c r="O285" i="2"/>
  <c r="Q285" i="2"/>
  <c r="K286" i="2"/>
  <c r="U286" i="2" s="1"/>
  <c r="O286" i="2"/>
  <c r="Q286" i="2"/>
  <c r="K287" i="2"/>
  <c r="U287" i="2" s="1"/>
  <c r="O287" i="2"/>
  <c r="Q287" i="2"/>
  <c r="K288" i="2"/>
  <c r="U288" i="2" s="1"/>
  <c r="O288" i="2"/>
  <c r="Q288" i="2"/>
  <c r="K289" i="2"/>
  <c r="U289" i="2" s="1"/>
  <c r="O289" i="2"/>
  <c r="Q289" i="2"/>
  <c r="K290" i="2"/>
  <c r="U290" i="2" s="1"/>
  <c r="O290" i="2"/>
  <c r="Q290" i="2"/>
  <c r="K291" i="2"/>
  <c r="U291" i="2" s="1"/>
  <c r="O291" i="2"/>
  <c r="Q291" i="2"/>
  <c r="K292" i="2"/>
  <c r="U292" i="2" s="1"/>
  <c r="O292" i="2"/>
  <c r="Q292" i="2"/>
  <c r="K293" i="2"/>
  <c r="U293" i="2" s="1"/>
  <c r="O293" i="2"/>
  <c r="Q293" i="2"/>
  <c r="K294" i="2"/>
  <c r="U294" i="2" s="1"/>
  <c r="O294" i="2"/>
  <c r="Q294" i="2"/>
  <c r="K295" i="2"/>
  <c r="U295" i="2" s="1"/>
  <c r="O295" i="2"/>
  <c r="Q295" i="2"/>
  <c r="K296" i="2"/>
  <c r="U296" i="2" s="1"/>
  <c r="O296" i="2"/>
  <c r="Q296" i="2"/>
  <c r="K297" i="2"/>
  <c r="U297" i="2" s="1"/>
  <c r="O297" i="2"/>
  <c r="Q297" i="2"/>
  <c r="K298" i="2"/>
  <c r="U298" i="2" s="1"/>
  <c r="O298" i="2"/>
  <c r="Q298" i="2"/>
  <c r="K299" i="2"/>
  <c r="U299" i="2" s="1"/>
  <c r="O299" i="2"/>
  <c r="Q299" i="2"/>
  <c r="K300" i="2"/>
  <c r="U300" i="2" s="1"/>
  <c r="O300" i="2"/>
  <c r="Q300" i="2"/>
  <c r="K301" i="2"/>
  <c r="U301" i="2" s="1"/>
  <c r="O301" i="2"/>
  <c r="Q301" i="2"/>
  <c r="K302" i="2"/>
  <c r="U302" i="2" s="1"/>
  <c r="O302" i="2"/>
  <c r="Q302" i="2"/>
  <c r="K303" i="2"/>
  <c r="U303" i="2" s="1"/>
  <c r="O303" i="2"/>
  <c r="Q303" i="2"/>
  <c r="K304" i="2"/>
  <c r="U304" i="2" s="1"/>
  <c r="O304" i="2"/>
  <c r="Q304" i="2"/>
  <c r="K305" i="2"/>
  <c r="U305" i="2" s="1"/>
  <c r="O305" i="2"/>
  <c r="Q305" i="2"/>
  <c r="K306" i="2"/>
  <c r="U306" i="2" s="1"/>
  <c r="O306" i="2"/>
  <c r="Q306" i="2"/>
  <c r="K307" i="2"/>
  <c r="U307" i="2" s="1"/>
  <c r="O307" i="2"/>
  <c r="Q307" i="2"/>
  <c r="K308" i="2"/>
  <c r="U308" i="2" s="1"/>
  <c r="O308" i="2"/>
  <c r="Q308" i="2"/>
  <c r="K309" i="2"/>
  <c r="U309" i="2" s="1"/>
  <c r="O309" i="2"/>
  <c r="Q309" i="2"/>
  <c r="K310" i="2"/>
  <c r="U310" i="2" s="1"/>
  <c r="O310" i="2"/>
  <c r="Q310" i="2"/>
  <c r="K311" i="2"/>
  <c r="U311" i="2" s="1"/>
  <c r="O311" i="2"/>
  <c r="Q311" i="2"/>
  <c r="K312" i="2"/>
  <c r="U312" i="2" s="1"/>
  <c r="O312" i="2"/>
  <c r="Q312" i="2"/>
  <c r="K313" i="2"/>
  <c r="U313" i="2" s="1"/>
  <c r="O313" i="2"/>
  <c r="Q313" i="2"/>
  <c r="K314" i="2"/>
  <c r="U314" i="2" s="1"/>
  <c r="O314" i="2"/>
  <c r="Q314" i="2"/>
  <c r="K315" i="2"/>
  <c r="U315" i="2" s="1"/>
  <c r="O315" i="2"/>
  <c r="Q315" i="2"/>
  <c r="K316" i="2"/>
  <c r="U316" i="2" s="1"/>
  <c r="O316" i="2"/>
  <c r="Q316" i="2"/>
  <c r="K317" i="2"/>
  <c r="U317" i="2" s="1"/>
  <c r="O317" i="2"/>
  <c r="Q317" i="2"/>
  <c r="K318" i="2"/>
  <c r="U318" i="2" s="1"/>
  <c r="O318" i="2"/>
  <c r="Q318" i="2"/>
  <c r="K319" i="2"/>
  <c r="U319" i="2" s="1"/>
  <c r="O319" i="2"/>
  <c r="Q319" i="2"/>
  <c r="K320" i="2"/>
  <c r="U320" i="2" s="1"/>
  <c r="O320" i="2"/>
  <c r="Q320" i="2"/>
  <c r="K321" i="2"/>
  <c r="U321" i="2" s="1"/>
  <c r="O321" i="2"/>
  <c r="Q321" i="2"/>
  <c r="K322" i="2"/>
  <c r="U322" i="2" s="1"/>
  <c r="O322" i="2"/>
  <c r="Q322" i="2"/>
  <c r="K323" i="2"/>
  <c r="U323" i="2" s="1"/>
  <c r="O323" i="2"/>
  <c r="Q323" i="2"/>
  <c r="K324" i="2"/>
  <c r="U324" i="2" s="1"/>
  <c r="O324" i="2"/>
  <c r="Q324" i="2"/>
  <c r="K325" i="2"/>
  <c r="U325" i="2" s="1"/>
  <c r="O325" i="2"/>
  <c r="Q325" i="2"/>
  <c r="K326" i="2"/>
  <c r="U326" i="2" s="1"/>
  <c r="O326" i="2"/>
  <c r="Q326" i="2"/>
  <c r="K327" i="2"/>
  <c r="U327" i="2" s="1"/>
  <c r="O327" i="2"/>
  <c r="Q327" i="2"/>
  <c r="K328" i="2"/>
  <c r="U328" i="2" s="1"/>
  <c r="O328" i="2"/>
  <c r="Q328" i="2"/>
  <c r="K329" i="2"/>
  <c r="U329" i="2" s="1"/>
  <c r="O329" i="2"/>
  <c r="Q329" i="2"/>
  <c r="K330" i="2"/>
  <c r="U330" i="2" s="1"/>
  <c r="O330" i="2"/>
  <c r="Q330" i="2"/>
  <c r="K331" i="2"/>
  <c r="U331" i="2" s="1"/>
  <c r="O331" i="2"/>
  <c r="Q331" i="2"/>
  <c r="K332" i="2"/>
  <c r="U332" i="2" s="1"/>
  <c r="O332" i="2"/>
  <c r="Q332" i="2"/>
  <c r="K333" i="2"/>
  <c r="U333" i="2" s="1"/>
  <c r="O333" i="2"/>
  <c r="Q333" i="2"/>
  <c r="K334" i="2"/>
  <c r="U334" i="2" s="1"/>
  <c r="O334" i="2"/>
  <c r="Q334" i="2"/>
  <c r="K335" i="2"/>
  <c r="U335" i="2" s="1"/>
  <c r="O335" i="2"/>
  <c r="Q335" i="2"/>
  <c r="K336" i="2"/>
  <c r="U336" i="2" s="1"/>
  <c r="O336" i="2"/>
  <c r="Q336" i="2"/>
  <c r="K337" i="2"/>
  <c r="U337" i="2" s="1"/>
  <c r="O337" i="2"/>
  <c r="Q337" i="2"/>
  <c r="K338" i="2"/>
  <c r="U338" i="2" s="1"/>
  <c r="O338" i="2"/>
  <c r="Q338" i="2"/>
  <c r="K339" i="2"/>
  <c r="U339" i="2" s="1"/>
  <c r="O339" i="2"/>
  <c r="Q339" i="2"/>
  <c r="K340" i="2"/>
  <c r="U340" i="2" s="1"/>
  <c r="O340" i="2"/>
  <c r="Q340" i="2"/>
  <c r="K341" i="2"/>
  <c r="U341" i="2" s="1"/>
  <c r="O341" i="2"/>
  <c r="Q341" i="2"/>
  <c r="K342" i="2"/>
  <c r="U342" i="2" s="1"/>
  <c r="O342" i="2"/>
  <c r="Q342" i="2"/>
  <c r="K343" i="2"/>
  <c r="U343" i="2" s="1"/>
  <c r="O343" i="2"/>
  <c r="Q343" i="2"/>
  <c r="K344" i="2"/>
  <c r="U344" i="2" s="1"/>
  <c r="O344" i="2"/>
  <c r="Q344" i="2"/>
  <c r="K345" i="2"/>
  <c r="U345" i="2" s="1"/>
  <c r="O345" i="2"/>
  <c r="Q345" i="2"/>
  <c r="K346" i="2"/>
  <c r="U346" i="2" s="1"/>
  <c r="O346" i="2"/>
  <c r="Q346" i="2"/>
  <c r="K347" i="2"/>
  <c r="U347" i="2" s="1"/>
  <c r="O347" i="2"/>
  <c r="Q347" i="2"/>
  <c r="K348" i="2"/>
  <c r="U348" i="2" s="1"/>
  <c r="O348" i="2"/>
  <c r="Q348" i="2"/>
  <c r="K349" i="2"/>
  <c r="U349" i="2" s="1"/>
  <c r="O349" i="2"/>
  <c r="Q349" i="2"/>
  <c r="K350" i="2"/>
  <c r="U350" i="2" s="1"/>
  <c r="O350" i="2"/>
  <c r="Q350" i="2"/>
  <c r="K351" i="2"/>
  <c r="U351" i="2" s="1"/>
  <c r="O351" i="2"/>
  <c r="Q351" i="2"/>
  <c r="K352" i="2"/>
  <c r="U352" i="2" s="1"/>
  <c r="O352" i="2"/>
  <c r="Q352" i="2"/>
  <c r="K353" i="2"/>
  <c r="U353" i="2" s="1"/>
  <c r="O353" i="2"/>
  <c r="Q353" i="2"/>
  <c r="K354" i="2"/>
  <c r="U354" i="2" s="1"/>
  <c r="O354" i="2"/>
  <c r="Q354" i="2"/>
  <c r="K355" i="2"/>
  <c r="U355" i="2" s="1"/>
  <c r="O355" i="2"/>
  <c r="Q355" i="2"/>
  <c r="K356" i="2"/>
  <c r="U356" i="2" s="1"/>
  <c r="O356" i="2"/>
  <c r="Q356" i="2"/>
  <c r="K357" i="2"/>
  <c r="U357" i="2" s="1"/>
  <c r="O357" i="2"/>
  <c r="Q357" i="2"/>
  <c r="K358" i="2"/>
  <c r="U358" i="2" s="1"/>
  <c r="O358" i="2"/>
  <c r="Q358" i="2"/>
  <c r="K359" i="2"/>
  <c r="U359" i="2" s="1"/>
  <c r="O359" i="2"/>
  <c r="Q359" i="2"/>
  <c r="K360" i="2"/>
  <c r="U360" i="2" s="1"/>
  <c r="O360" i="2"/>
  <c r="Q360" i="2"/>
  <c r="K361" i="2"/>
  <c r="U361" i="2" s="1"/>
  <c r="O361" i="2"/>
  <c r="Q361" i="2"/>
  <c r="K362" i="2"/>
  <c r="U362" i="2" s="1"/>
  <c r="O362" i="2"/>
  <c r="Q362" i="2"/>
  <c r="K363" i="2"/>
  <c r="U363" i="2" s="1"/>
  <c r="O363" i="2"/>
  <c r="Q363" i="2"/>
  <c r="K364" i="2"/>
  <c r="U364" i="2" s="1"/>
  <c r="O364" i="2"/>
  <c r="Q364" i="2"/>
  <c r="K365" i="2"/>
  <c r="U365" i="2" s="1"/>
  <c r="O365" i="2"/>
  <c r="Q365" i="2"/>
  <c r="K366" i="2"/>
  <c r="U366" i="2" s="1"/>
  <c r="O366" i="2"/>
  <c r="Q366" i="2"/>
  <c r="K367" i="2"/>
  <c r="U367" i="2" s="1"/>
  <c r="O367" i="2"/>
  <c r="Q367" i="2"/>
  <c r="K368" i="2"/>
  <c r="U368" i="2" s="1"/>
  <c r="O368" i="2"/>
  <c r="Q368" i="2"/>
  <c r="K369" i="2"/>
  <c r="U369" i="2" s="1"/>
  <c r="O369" i="2"/>
  <c r="Q369" i="2"/>
  <c r="K370" i="2"/>
  <c r="U370" i="2" s="1"/>
  <c r="O370" i="2"/>
  <c r="Q370" i="2"/>
  <c r="K371" i="2"/>
  <c r="U371" i="2" s="1"/>
  <c r="O371" i="2"/>
  <c r="Q371" i="2"/>
  <c r="K372" i="2"/>
  <c r="U372" i="2" s="1"/>
  <c r="O372" i="2"/>
  <c r="Q372" i="2"/>
  <c r="K373" i="2"/>
  <c r="U373" i="2" s="1"/>
  <c r="O373" i="2"/>
  <c r="Q373" i="2"/>
  <c r="K374" i="2"/>
  <c r="U374" i="2" s="1"/>
  <c r="O374" i="2"/>
  <c r="Q374" i="2"/>
  <c r="K375" i="2"/>
  <c r="U375" i="2" s="1"/>
  <c r="O375" i="2"/>
  <c r="Q375" i="2"/>
  <c r="K376" i="2"/>
  <c r="U376" i="2" s="1"/>
  <c r="O376" i="2"/>
  <c r="Q376" i="2"/>
  <c r="K377" i="2"/>
  <c r="U377" i="2" s="1"/>
  <c r="O377" i="2"/>
  <c r="Q377" i="2"/>
  <c r="K378" i="2"/>
  <c r="U378" i="2" s="1"/>
  <c r="O378" i="2"/>
  <c r="Q378" i="2"/>
  <c r="K379" i="2"/>
  <c r="U379" i="2" s="1"/>
  <c r="O379" i="2"/>
  <c r="Q379" i="2"/>
  <c r="K380" i="2"/>
  <c r="U380" i="2" s="1"/>
  <c r="O380" i="2"/>
  <c r="Q380" i="2"/>
  <c r="K381" i="2"/>
  <c r="U381" i="2" s="1"/>
  <c r="O381" i="2"/>
  <c r="Q381" i="2"/>
  <c r="K382" i="2"/>
  <c r="U382" i="2" s="1"/>
  <c r="O382" i="2"/>
  <c r="Q382" i="2"/>
  <c r="K383" i="2"/>
  <c r="U383" i="2" s="1"/>
  <c r="O383" i="2"/>
  <c r="Q383" i="2"/>
  <c r="K384" i="2"/>
  <c r="U384" i="2" s="1"/>
  <c r="O384" i="2"/>
  <c r="Q384" i="2"/>
  <c r="K385" i="2"/>
  <c r="U385" i="2" s="1"/>
  <c r="O385" i="2"/>
  <c r="Q385" i="2"/>
  <c r="K386" i="2"/>
  <c r="U386" i="2" s="1"/>
  <c r="O386" i="2"/>
  <c r="Q386" i="2"/>
  <c r="K387" i="2"/>
  <c r="U387" i="2" s="1"/>
  <c r="O387" i="2"/>
  <c r="Q387" i="2"/>
  <c r="K388" i="2"/>
  <c r="U388" i="2" s="1"/>
  <c r="O388" i="2"/>
  <c r="Q388" i="2"/>
  <c r="K389" i="2"/>
  <c r="U389" i="2" s="1"/>
  <c r="O389" i="2"/>
  <c r="Q389" i="2"/>
  <c r="K390" i="2"/>
  <c r="U390" i="2" s="1"/>
  <c r="O390" i="2"/>
  <c r="Q390" i="2"/>
  <c r="K391" i="2"/>
  <c r="U391" i="2" s="1"/>
  <c r="O391" i="2"/>
  <c r="Q391" i="2"/>
  <c r="K392" i="2"/>
  <c r="U392" i="2" s="1"/>
  <c r="O392" i="2"/>
  <c r="Q392" i="2"/>
  <c r="K393" i="2"/>
  <c r="U393" i="2" s="1"/>
  <c r="O393" i="2"/>
  <c r="Q393" i="2"/>
  <c r="K394" i="2"/>
  <c r="U394" i="2" s="1"/>
  <c r="O394" i="2"/>
  <c r="Q394" i="2"/>
  <c r="K395" i="2"/>
  <c r="U395" i="2" s="1"/>
  <c r="O395" i="2"/>
  <c r="Q395" i="2"/>
  <c r="K396" i="2"/>
  <c r="U396" i="2" s="1"/>
  <c r="O396" i="2"/>
  <c r="Q396" i="2"/>
  <c r="K397" i="2"/>
  <c r="U397" i="2" s="1"/>
  <c r="O397" i="2"/>
  <c r="Q397" i="2"/>
  <c r="K398" i="2"/>
  <c r="U398" i="2" s="1"/>
  <c r="N398" i="2"/>
  <c r="O398" i="2"/>
  <c r="P398" i="2"/>
  <c r="Q398" i="2"/>
  <c r="K399" i="2"/>
  <c r="U399" i="2" s="1"/>
  <c r="O399" i="2"/>
  <c r="Q399" i="2"/>
  <c r="K400" i="2"/>
  <c r="U400" i="2" s="1"/>
  <c r="O400" i="2"/>
  <c r="Q400" i="2"/>
  <c r="K401" i="2"/>
  <c r="U401" i="2" s="1"/>
  <c r="O401" i="2"/>
  <c r="Q401" i="2"/>
  <c r="K402" i="2"/>
  <c r="U402" i="2" s="1"/>
  <c r="O402" i="2"/>
  <c r="Q402" i="2"/>
  <c r="K403" i="2"/>
  <c r="U403" i="2" s="1"/>
  <c r="O403" i="2"/>
  <c r="Q403" i="2"/>
  <c r="K404" i="2"/>
  <c r="U404" i="2" s="1"/>
  <c r="O404" i="2"/>
  <c r="Q404" i="2"/>
  <c r="K405" i="2"/>
  <c r="U405" i="2" s="1"/>
  <c r="O405" i="2"/>
  <c r="Q405" i="2"/>
  <c r="K406" i="2"/>
  <c r="U406" i="2" s="1"/>
  <c r="N406" i="2"/>
  <c r="O406" i="2"/>
  <c r="P406" i="2"/>
  <c r="Q406" i="2"/>
  <c r="K407" i="2"/>
  <c r="U407" i="2" s="1"/>
  <c r="O407" i="2"/>
  <c r="Q407" i="2"/>
  <c r="K408" i="2"/>
  <c r="U408" i="2" s="1"/>
  <c r="O408" i="2"/>
  <c r="Q408" i="2"/>
  <c r="K409" i="2"/>
  <c r="U409" i="2" s="1"/>
  <c r="O409" i="2"/>
  <c r="Q409" i="2"/>
  <c r="K410" i="2"/>
  <c r="U410" i="2" s="1"/>
  <c r="N410" i="2"/>
  <c r="O410" i="2"/>
  <c r="P410" i="2"/>
  <c r="Q410" i="2"/>
  <c r="K411" i="2"/>
  <c r="U411" i="2" s="1"/>
  <c r="O411" i="2"/>
  <c r="Q411" i="2"/>
  <c r="K412" i="2"/>
  <c r="U412" i="2" s="1"/>
  <c r="O412" i="2"/>
  <c r="Q412" i="2"/>
  <c r="K413" i="2"/>
  <c r="U413" i="2" s="1"/>
  <c r="O413" i="2"/>
  <c r="Q413" i="2"/>
  <c r="K414" i="2"/>
  <c r="U414" i="2" s="1"/>
  <c r="O414" i="2"/>
  <c r="Q414" i="2"/>
  <c r="K415" i="2"/>
  <c r="U415" i="2" s="1"/>
  <c r="O415" i="2"/>
  <c r="Q415" i="2"/>
  <c r="K416" i="2"/>
  <c r="U416" i="2" s="1"/>
  <c r="O416" i="2"/>
  <c r="Q416" i="2"/>
  <c r="K417" i="2"/>
  <c r="U417" i="2" s="1"/>
  <c r="O417" i="2"/>
  <c r="Q417" i="2"/>
  <c r="K418" i="2"/>
  <c r="U418" i="2" s="1"/>
  <c r="O418" i="2"/>
  <c r="Q418" i="2"/>
  <c r="K419" i="2"/>
  <c r="U419" i="2" s="1"/>
  <c r="O419" i="2"/>
  <c r="Q419" i="2"/>
  <c r="K420" i="2"/>
  <c r="U420" i="2" s="1"/>
  <c r="O420" i="2"/>
  <c r="Q420" i="2"/>
  <c r="K421" i="2"/>
  <c r="U421" i="2" s="1"/>
  <c r="O421" i="2"/>
  <c r="Q421" i="2"/>
  <c r="K422" i="2"/>
  <c r="U422" i="2" s="1"/>
  <c r="O422" i="2"/>
  <c r="Q422" i="2"/>
  <c r="K423" i="2"/>
  <c r="U423" i="2" s="1"/>
  <c r="O423" i="2"/>
  <c r="Q423" i="2"/>
  <c r="K424" i="2"/>
  <c r="U424" i="2" s="1"/>
  <c r="O424" i="2"/>
  <c r="Q424" i="2"/>
  <c r="K425" i="2"/>
  <c r="U425" i="2" s="1"/>
  <c r="O425" i="2"/>
  <c r="Q425" i="2"/>
  <c r="K426" i="2"/>
  <c r="U426" i="2" s="1"/>
  <c r="O426" i="2"/>
  <c r="Q426" i="2"/>
  <c r="K427" i="2"/>
  <c r="U427" i="2" s="1"/>
  <c r="O427" i="2"/>
  <c r="Q427" i="2"/>
  <c r="K428" i="2"/>
  <c r="U428" i="2" s="1"/>
  <c r="O428" i="2"/>
  <c r="Q428" i="2"/>
  <c r="K429" i="2"/>
  <c r="U429" i="2" s="1"/>
  <c r="O429" i="2"/>
  <c r="Q429" i="2"/>
  <c r="K430" i="2"/>
  <c r="U430" i="2" s="1"/>
  <c r="O430" i="2"/>
  <c r="Q430" i="2"/>
  <c r="K431" i="2"/>
  <c r="U431" i="2" s="1"/>
  <c r="O431" i="2"/>
  <c r="Q431" i="2"/>
  <c r="K432" i="2"/>
  <c r="U432" i="2" s="1"/>
  <c r="O432" i="2"/>
  <c r="Q432" i="2"/>
  <c r="K433" i="2"/>
  <c r="U433" i="2" s="1"/>
  <c r="O433" i="2"/>
  <c r="Q433" i="2"/>
  <c r="K434" i="2"/>
  <c r="U434" i="2" s="1"/>
  <c r="O434" i="2"/>
  <c r="Q434" i="2"/>
  <c r="K435" i="2"/>
  <c r="U435" i="2" s="1"/>
  <c r="O435" i="2"/>
  <c r="Q435" i="2"/>
  <c r="K436" i="2"/>
  <c r="U436" i="2" s="1"/>
  <c r="O436" i="2"/>
  <c r="Q436" i="2"/>
  <c r="K437" i="2"/>
  <c r="U437" i="2" s="1"/>
  <c r="O437" i="2"/>
  <c r="Q437" i="2"/>
  <c r="K438" i="2"/>
  <c r="U438" i="2" s="1"/>
  <c r="N438" i="2"/>
  <c r="O438" i="2"/>
  <c r="P438" i="2"/>
  <c r="Q438" i="2"/>
  <c r="K439" i="2"/>
  <c r="U439" i="2" s="1"/>
  <c r="O439" i="2"/>
  <c r="Q439" i="2"/>
  <c r="K440" i="2"/>
  <c r="U440" i="2" s="1"/>
  <c r="O440" i="2"/>
  <c r="Q440" i="2"/>
  <c r="K441" i="2"/>
  <c r="U441" i="2" s="1"/>
  <c r="O441" i="2"/>
  <c r="Q441" i="2"/>
  <c r="K442" i="2"/>
  <c r="U442" i="2" s="1"/>
  <c r="O442" i="2"/>
  <c r="Q442" i="2"/>
  <c r="K443" i="2"/>
  <c r="U443" i="2" s="1"/>
  <c r="O443" i="2"/>
  <c r="Q443" i="2"/>
  <c r="K444" i="2"/>
  <c r="U444" i="2" s="1"/>
  <c r="O444" i="2"/>
  <c r="Q444" i="2"/>
  <c r="K445" i="2"/>
  <c r="U445" i="2" s="1"/>
  <c r="O445" i="2"/>
  <c r="Q445" i="2"/>
  <c r="K446" i="2"/>
  <c r="U446" i="2" s="1"/>
  <c r="O446" i="2"/>
  <c r="Q446" i="2"/>
  <c r="K447" i="2"/>
  <c r="U447" i="2" s="1"/>
  <c r="O447" i="2"/>
  <c r="Q447" i="2"/>
  <c r="K448" i="2"/>
  <c r="U448" i="2" s="1"/>
  <c r="O448" i="2"/>
  <c r="Q448" i="2"/>
  <c r="K449" i="2"/>
  <c r="U449" i="2" s="1"/>
  <c r="O449" i="2"/>
  <c r="Q449" i="2"/>
  <c r="K450" i="2"/>
  <c r="U450" i="2" s="1"/>
  <c r="O450" i="2"/>
  <c r="Q450" i="2"/>
  <c r="K451" i="2"/>
  <c r="U451" i="2" s="1"/>
  <c r="O451" i="2"/>
  <c r="Q451" i="2"/>
  <c r="K452" i="2"/>
  <c r="U452" i="2" s="1"/>
  <c r="O452" i="2"/>
  <c r="Q452" i="2"/>
  <c r="K453" i="2"/>
  <c r="U453" i="2" s="1"/>
  <c r="O453" i="2"/>
  <c r="Q453" i="2"/>
  <c r="K454" i="2"/>
  <c r="U454" i="2" s="1"/>
  <c r="O454" i="2"/>
  <c r="Q454" i="2"/>
  <c r="K455" i="2"/>
  <c r="U455" i="2" s="1"/>
  <c r="O455" i="2"/>
  <c r="Q455" i="2"/>
  <c r="K456" i="2"/>
  <c r="U456" i="2" s="1"/>
  <c r="O456" i="2"/>
  <c r="Q456" i="2"/>
  <c r="K457" i="2"/>
  <c r="U457" i="2" s="1"/>
  <c r="O457" i="2"/>
  <c r="Q457" i="2"/>
  <c r="K458" i="2"/>
  <c r="U458" i="2" s="1"/>
  <c r="O458" i="2"/>
  <c r="Q458" i="2"/>
  <c r="K459" i="2"/>
  <c r="U459" i="2" s="1"/>
  <c r="O459" i="2"/>
  <c r="Q459" i="2"/>
  <c r="K460" i="2"/>
  <c r="U460" i="2" s="1"/>
  <c r="O460" i="2"/>
  <c r="Q460" i="2"/>
  <c r="K461" i="2"/>
  <c r="U461" i="2" s="1"/>
  <c r="O461" i="2"/>
  <c r="Q461" i="2"/>
  <c r="K462" i="2"/>
  <c r="U462" i="2" s="1"/>
  <c r="O462" i="2"/>
  <c r="Q462" i="2"/>
  <c r="K463" i="2"/>
  <c r="U463" i="2" s="1"/>
  <c r="O463" i="2"/>
  <c r="Q463" i="2"/>
  <c r="K464" i="2"/>
  <c r="U464" i="2" s="1"/>
  <c r="O464" i="2"/>
  <c r="Q464" i="2"/>
  <c r="K465" i="2"/>
  <c r="U465" i="2" s="1"/>
  <c r="O465" i="2"/>
  <c r="Q465" i="2"/>
  <c r="K466" i="2"/>
  <c r="U466" i="2" s="1"/>
  <c r="O466" i="2"/>
  <c r="Q466" i="2"/>
  <c r="K467" i="2"/>
  <c r="U467" i="2" s="1"/>
  <c r="O467" i="2"/>
  <c r="Q467" i="2"/>
  <c r="K468" i="2"/>
  <c r="U468" i="2" s="1"/>
  <c r="O468" i="2"/>
  <c r="Q468" i="2"/>
  <c r="K469" i="2"/>
  <c r="U469" i="2" s="1"/>
  <c r="O469" i="2"/>
  <c r="Q469" i="2"/>
  <c r="K470" i="2"/>
  <c r="U470" i="2" s="1"/>
  <c r="O470" i="2"/>
  <c r="Q470" i="2"/>
  <c r="K471" i="2"/>
  <c r="U471" i="2" s="1"/>
  <c r="O471" i="2"/>
  <c r="Q471" i="2"/>
  <c r="K472" i="2"/>
  <c r="U472" i="2" s="1"/>
  <c r="O472" i="2"/>
  <c r="Q472" i="2"/>
  <c r="K473" i="2"/>
  <c r="U473" i="2" s="1"/>
  <c r="O473" i="2"/>
  <c r="Q473" i="2"/>
  <c r="K474" i="2"/>
  <c r="U474" i="2" s="1"/>
  <c r="O474" i="2"/>
  <c r="Q474" i="2"/>
  <c r="K475" i="2"/>
  <c r="U475" i="2" s="1"/>
  <c r="O475" i="2"/>
  <c r="Q475" i="2"/>
  <c r="K476" i="2"/>
  <c r="U476" i="2" s="1"/>
  <c r="O476" i="2"/>
  <c r="Q476" i="2"/>
  <c r="K477" i="2"/>
  <c r="U477" i="2" s="1"/>
  <c r="O477" i="2"/>
  <c r="Q477" i="2"/>
  <c r="K478" i="2"/>
  <c r="U478" i="2" s="1"/>
  <c r="O478" i="2"/>
  <c r="Q478" i="2"/>
  <c r="K479" i="2"/>
  <c r="U479" i="2" s="1"/>
  <c r="O479" i="2"/>
  <c r="Q479" i="2"/>
  <c r="K480" i="2"/>
  <c r="U480" i="2" s="1"/>
  <c r="O480" i="2"/>
  <c r="Q480" i="2"/>
  <c r="K481" i="2"/>
  <c r="U481" i="2" s="1"/>
  <c r="O481" i="2"/>
  <c r="Q481" i="2"/>
  <c r="K482" i="2"/>
  <c r="U482" i="2" s="1"/>
  <c r="O482" i="2"/>
  <c r="Q482" i="2"/>
  <c r="K483" i="2"/>
  <c r="U483" i="2" s="1"/>
  <c r="O483" i="2"/>
  <c r="Q483" i="2"/>
  <c r="K484" i="2"/>
  <c r="U484" i="2" s="1"/>
  <c r="O484" i="2"/>
  <c r="Q484" i="2"/>
  <c r="K485" i="2"/>
  <c r="U485" i="2" s="1"/>
  <c r="O485" i="2"/>
  <c r="Q485" i="2"/>
  <c r="K486" i="2"/>
  <c r="U486" i="2" s="1"/>
  <c r="O486" i="2"/>
  <c r="Q486" i="2"/>
  <c r="K487" i="2"/>
  <c r="U487" i="2" s="1"/>
  <c r="O487" i="2"/>
  <c r="Q487" i="2"/>
  <c r="K488" i="2"/>
  <c r="U488" i="2" s="1"/>
  <c r="O488" i="2"/>
  <c r="Q488" i="2"/>
  <c r="K489" i="2"/>
  <c r="U489" i="2" s="1"/>
  <c r="O489" i="2"/>
  <c r="Q489" i="2"/>
  <c r="K490" i="2"/>
  <c r="U490" i="2" s="1"/>
  <c r="O490" i="2"/>
  <c r="Q490" i="2"/>
  <c r="K491" i="2"/>
  <c r="U491" i="2" s="1"/>
  <c r="O491" i="2"/>
  <c r="Q491" i="2"/>
  <c r="K492" i="2"/>
  <c r="U492" i="2" s="1"/>
  <c r="O492" i="2"/>
  <c r="Q492" i="2"/>
  <c r="K493" i="2"/>
  <c r="U493" i="2" s="1"/>
  <c r="O493" i="2"/>
  <c r="Q493" i="2"/>
  <c r="K494" i="2"/>
  <c r="U494" i="2" s="1"/>
  <c r="O494" i="2"/>
  <c r="Q494" i="2"/>
  <c r="K495" i="2"/>
  <c r="U495" i="2" s="1"/>
  <c r="O495" i="2"/>
  <c r="Q495" i="2"/>
  <c r="K496" i="2"/>
  <c r="U496" i="2" s="1"/>
  <c r="O496" i="2"/>
  <c r="Q496" i="2"/>
  <c r="K497" i="2"/>
  <c r="U497" i="2" s="1"/>
  <c r="O497" i="2"/>
  <c r="Q497" i="2"/>
  <c r="K498" i="2"/>
  <c r="U498" i="2" s="1"/>
  <c r="O498" i="2"/>
  <c r="Q498" i="2"/>
  <c r="K499" i="2"/>
  <c r="U499" i="2" s="1"/>
  <c r="O499" i="2"/>
  <c r="Q499" i="2"/>
  <c r="K500" i="2"/>
  <c r="U500" i="2" s="1"/>
  <c r="O500" i="2"/>
  <c r="Q500" i="2"/>
  <c r="K501" i="2"/>
  <c r="U501" i="2" s="1"/>
  <c r="O501" i="2"/>
  <c r="Q501" i="2"/>
  <c r="K502" i="2"/>
  <c r="U502" i="2" s="1"/>
  <c r="O502" i="2"/>
  <c r="Q502" i="2"/>
  <c r="K503" i="2"/>
  <c r="U503" i="2" s="1"/>
  <c r="O503" i="2"/>
  <c r="Q503" i="2"/>
  <c r="K504" i="2"/>
  <c r="U504" i="2" s="1"/>
  <c r="O504" i="2"/>
  <c r="Q504" i="2"/>
  <c r="K505" i="2"/>
  <c r="U505" i="2" s="1"/>
  <c r="O505" i="2"/>
  <c r="Q505" i="2"/>
  <c r="K506" i="2"/>
  <c r="U506" i="2" s="1"/>
  <c r="O506" i="2"/>
  <c r="Q506" i="2"/>
  <c r="K507" i="2"/>
  <c r="U507" i="2" s="1"/>
  <c r="O507" i="2"/>
  <c r="Q507" i="2"/>
  <c r="K508" i="2"/>
  <c r="U508" i="2" s="1"/>
  <c r="O508" i="2"/>
  <c r="Q508" i="2"/>
  <c r="K509" i="2"/>
  <c r="U509" i="2" s="1"/>
  <c r="O509" i="2"/>
  <c r="Q509" i="2"/>
  <c r="K510" i="2"/>
  <c r="U510" i="2" s="1"/>
  <c r="O510" i="2"/>
  <c r="Q510" i="2"/>
  <c r="K511" i="2"/>
  <c r="U511" i="2" s="1"/>
  <c r="O511" i="2"/>
  <c r="Q511" i="2"/>
  <c r="K512" i="2"/>
  <c r="U512" i="2" s="1"/>
  <c r="O512" i="2"/>
  <c r="Q512" i="2"/>
  <c r="K513" i="2"/>
  <c r="U513" i="2" s="1"/>
  <c r="O513" i="2"/>
  <c r="Q513" i="2"/>
  <c r="K514" i="2"/>
  <c r="U514" i="2" s="1"/>
  <c r="O514" i="2"/>
  <c r="Q514" i="2"/>
  <c r="K515" i="2"/>
  <c r="U515" i="2" s="1"/>
  <c r="O515" i="2"/>
  <c r="Q515" i="2"/>
  <c r="K516" i="2"/>
  <c r="U516" i="2" s="1"/>
  <c r="O516" i="2"/>
  <c r="Q516" i="2"/>
  <c r="K517" i="2"/>
  <c r="U517" i="2" s="1"/>
  <c r="O517" i="2"/>
  <c r="Q517" i="2"/>
  <c r="K518" i="2"/>
  <c r="U518" i="2" s="1"/>
  <c r="O518" i="2"/>
  <c r="Q518" i="2"/>
  <c r="K519" i="2"/>
  <c r="U519" i="2" s="1"/>
  <c r="O519" i="2"/>
  <c r="Q519" i="2"/>
  <c r="K520" i="2"/>
  <c r="U520" i="2" s="1"/>
  <c r="O520" i="2"/>
  <c r="Q520" i="2"/>
  <c r="K521" i="2"/>
  <c r="U521" i="2" s="1"/>
  <c r="O521" i="2"/>
  <c r="Q521" i="2"/>
  <c r="K522" i="2"/>
  <c r="U522" i="2" s="1"/>
  <c r="O522" i="2"/>
  <c r="Q522" i="2"/>
  <c r="K523" i="2"/>
  <c r="U523" i="2" s="1"/>
  <c r="O523" i="2"/>
  <c r="Q523" i="2"/>
  <c r="K524" i="2"/>
  <c r="U524" i="2" s="1"/>
  <c r="O524" i="2"/>
  <c r="Q524" i="2"/>
  <c r="K525" i="2"/>
  <c r="U525" i="2" s="1"/>
  <c r="O525" i="2"/>
  <c r="Q525" i="2"/>
  <c r="K526" i="2"/>
  <c r="U526" i="2" s="1"/>
  <c r="O526" i="2"/>
  <c r="Q526" i="2"/>
  <c r="K527" i="2"/>
  <c r="U527" i="2" s="1"/>
  <c r="O527" i="2"/>
  <c r="Q527" i="2"/>
  <c r="K528" i="2"/>
  <c r="U528" i="2" s="1"/>
  <c r="O528" i="2"/>
  <c r="Q528" i="2"/>
  <c r="K529" i="2"/>
  <c r="U529" i="2" s="1"/>
  <c r="O529" i="2"/>
  <c r="Q529" i="2"/>
  <c r="K530" i="2"/>
  <c r="U530" i="2" s="1"/>
  <c r="O530" i="2"/>
  <c r="Q530" i="2"/>
  <c r="K531" i="2"/>
  <c r="U531" i="2" s="1"/>
  <c r="O531" i="2"/>
  <c r="Q531" i="2"/>
  <c r="K532" i="2"/>
  <c r="U532" i="2" s="1"/>
  <c r="O532" i="2"/>
  <c r="Q532" i="2"/>
  <c r="K533" i="2"/>
  <c r="U533" i="2" s="1"/>
  <c r="O533" i="2"/>
  <c r="Q533" i="2"/>
  <c r="K534" i="2"/>
  <c r="U534" i="2" s="1"/>
  <c r="O534" i="2"/>
  <c r="Q534" i="2"/>
  <c r="K535" i="2"/>
  <c r="U535" i="2" s="1"/>
  <c r="O535" i="2"/>
  <c r="Q535" i="2"/>
  <c r="K536" i="2"/>
  <c r="U536" i="2" s="1"/>
  <c r="O536" i="2"/>
  <c r="Q536" i="2"/>
  <c r="K537" i="2"/>
  <c r="U537" i="2" s="1"/>
  <c r="O537" i="2"/>
  <c r="Q537" i="2"/>
  <c r="K538" i="2"/>
  <c r="U538" i="2" s="1"/>
  <c r="O538" i="2"/>
  <c r="Q538" i="2"/>
  <c r="K539" i="2"/>
  <c r="U539" i="2" s="1"/>
  <c r="O539" i="2"/>
  <c r="Q539" i="2"/>
  <c r="K540" i="2"/>
  <c r="U540" i="2" s="1"/>
  <c r="O540" i="2"/>
  <c r="Q540" i="2"/>
  <c r="K541" i="2"/>
  <c r="U541" i="2" s="1"/>
  <c r="O541" i="2"/>
  <c r="Q541" i="2"/>
  <c r="K542" i="2"/>
  <c r="U542" i="2" s="1"/>
  <c r="O542" i="2"/>
  <c r="Q542" i="2"/>
  <c r="K543" i="2"/>
  <c r="U543" i="2" s="1"/>
  <c r="O543" i="2"/>
  <c r="Q543" i="2"/>
  <c r="K544" i="2"/>
  <c r="U544" i="2" s="1"/>
  <c r="O544" i="2"/>
  <c r="Q544" i="2"/>
  <c r="K545" i="2"/>
  <c r="U545" i="2" s="1"/>
  <c r="O545" i="2"/>
  <c r="Q545" i="2"/>
  <c r="K546" i="2"/>
  <c r="U546" i="2" s="1"/>
  <c r="O546" i="2"/>
  <c r="Q546" i="2"/>
  <c r="K547" i="2"/>
  <c r="U547" i="2" s="1"/>
  <c r="O547" i="2"/>
  <c r="Q547" i="2"/>
  <c r="K548" i="2"/>
  <c r="U548" i="2" s="1"/>
  <c r="O548" i="2"/>
  <c r="Q548" i="2"/>
  <c r="K549" i="2"/>
  <c r="U549" i="2" s="1"/>
  <c r="O549" i="2"/>
  <c r="Q549" i="2"/>
  <c r="K550" i="2"/>
  <c r="U550" i="2" s="1"/>
  <c r="O550" i="2"/>
  <c r="Q550" i="2"/>
  <c r="K551" i="2"/>
  <c r="U551" i="2" s="1"/>
  <c r="O551" i="2"/>
  <c r="Q551" i="2"/>
  <c r="K552" i="2"/>
  <c r="U552" i="2" s="1"/>
  <c r="O552" i="2"/>
  <c r="Q552" i="2"/>
  <c r="K553" i="2"/>
  <c r="U553" i="2" s="1"/>
  <c r="O553" i="2"/>
  <c r="Q553" i="2"/>
  <c r="K554" i="2"/>
  <c r="U554" i="2" s="1"/>
  <c r="O554" i="2"/>
  <c r="Q554" i="2"/>
  <c r="K555" i="2"/>
  <c r="U555" i="2" s="1"/>
  <c r="O555" i="2"/>
  <c r="Q555" i="2"/>
  <c r="K556" i="2"/>
  <c r="U556" i="2" s="1"/>
  <c r="O556" i="2"/>
  <c r="Q556" i="2"/>
  <c r="K557" i="2"/>
  <c r="U557" i="2" s="1"/>
  <c r="O557" i="2"/>
  <c r="Q557" i="2"/>
  <c r="K558" i="2"/>
  <c r="U558" i="2" s="1"/>
  <c r="O558" i="2"/>
  <c r="Q558" i="2"/>
  <c r="K559" i="2"/>
  <c r="U559" i="2" s="1"/>
  <c r="O559" i="2"/>
  <c r="Q559" i="2"/>
  <c r="K560" i="2"/>
  <c r="U560" i="2" s="1"/>
  <c r="O560" i="2"/>
  <c r="Q560" i="2"/>
  <c r="K561" i="2"/>
  <c r="U561" i="2" s="1"/>
  <c r="O561" i="2"/>
  <c r="Q561" i="2"/>
  <c r="K562" i="2"/>
  <c r="U562" i="2" s="1"/>
  <c r="O562" i="2"/>
  <c r="Q562" i="2"/>
  <c r="K563" i="2"/>
  <c r="U563" i="2" s="1"/>
  <c r="O563" i="2"/>
  <c r="Q563" i="2"/>
  <c r="K564" i="2"/>
  <c r="U564" i="2" s="1"/>
  <c r="O564" i="2"/>
  <c r="Q564" i="2"/>
  <c r="K565" i="2"/>
  <c r="U565" i="2" s="1"/>
  <c r="O565" i="2"/>
  <c r="Q565" i="2"/>
  <c r="K566" i="2"/>
  <c r="U566" i="2" s="1"/>
  <c r="O566" i="2"/>
  <c r="Q566" i="2"/>
  <c r="K567" i="2"/>
  <c r="U567" i="2" s="1"/>
  <c r="O567" i="2"/>
  <c r="Q567" i="2"/>
  <c r="K568" i="2"/>
  <c r="U568" i="2" s="1"/>
  <c r="O568" i="2"/>
  <c r="Q568" i="2"/>
  <c r="K569" i="2"/>
  <c r="U569" i="2" s="1"/>
  <c r="O569" i="2"/>
  <c r="Q569" i="2"/>
  <c r="K570" i="2"/>
  <c r="U570" i="2" s="1"/>
  <c r="O570" i="2"/>
  <c r="Q570" i="2"/>
  <c r="K571" i="2"/>
  <c r="U571" i="2" s="1"/>
  <c r="O571" i="2"/>
  <c r="Q571" i="2"/>
  <c r="K572" i="2"/>
  <c r="U572" i="2" s="1"/>
  <c r="O572" i="2"/>
  <c r="Q572" i="2"/>
  <c r="K573" i="2"/>
  <c r="U573" i="2" s="1"/>
  <c r="O573" i="2"/>
  <c r="Q573" i="2"/>
  <c r="K574" i="2"/>
  <c r="U574" i="2" s="1"/>
  <c r="O574" i="2"/>
  <c r="Q574" i="2"/>
  <c r="K575" i="2"/>
  <c r="U575" i="2" s="1"/>
  <c r="O575" i="2"/>
  <c r="Q575" i="2"/>
  <c r="K576" i="2"/>
  <c r="U576" i="2" s="1"/>
  <c r="O576" i="2"/>
  <c r="Q576" i="2"/>
  <c r="K577" i="2"/>
  <c r="U577" i="2" s="1"/>
  <c r="O577" i="2"/>
  <c r="Q577" i="2"/>
  <c r="K578" i="2"/>
  <c r="U578" i="2" s="1"/>
  <c r="O578" i="2"/>
  <c r="Q578" i="2"/>
  <c r="K579" i="2"/>
  <c r="U579" i="2" s="1"/>
  <c r="O579" i="2"/>
  <c r="Q579" i="2"/>
  <c r="K580" i="2"/>
  <c r="U580" i="2" s="1"/>
  <c r="O580" i="2"/>
  <c r="Q580" i="2"/>
  <c r="K581" i="2"/>
  <c r="U581" i="2" s="1"/>
  <c r="O581" i="2"/>
  <c r="Q581" i="2"/>
  <c r="K582" i="2"/>
  <c r="U582" i="2" s="1"/>
  <c r="O582" i="2"/>
  <c r="Q582" i="2"/>
  <c r="K583" i="2"/>
  <c r="U583" i="2" s="1"/>
  <c r="O583" i="2"/>
  <c r="Q583" i="2"/>
  <c r="K584" i="2"/>
  <c r="U584" i="2" s="1"/>
  <c r="O584" i="2"/>
  <c r="Q584" i="2"/>
  <c r="K585" i="2"/>
  <c r="U585" i="2" s="1"/>
  <c r="O585" i="2"/>
  <c r="Q585" i="2"/>
  <c r="K586" i="2"/>
  <c r="U586" i="2" s="1"/>
  <c r="O586" i="2"/>
  <c r="Q586" i="2"/>
  <c r="K587" i="2"/>
  <c r="U587" i="2" s="1"/>
  <c r="O587" i="2"/>
  <c r="Q587" i="2"/>
  <c r="K588" i="2"/>
  <c r="U588" i="2" s="1"/>
  <c r="O588" i="2"/>
  <c r="Q588" i="2"/>
  <c r="K589" i="2"/>
  <c r="U589" i="2" s="1"/>
  <c r="O589" i="2"/>
  <c r="Q589" i="2"/>
  <c r="A2" i="2"/>
  <c r="A3" i="2" s="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K30" i="2"/>
  <c r="U30" i="2" s="1"/>
  <c r="Q29" i="2"/>
  <c r="O29" i="2"/>
  <c r="K29" i="2"/>
  <c r="U29" i="2" s="1"/>
  <c r="B8" i="42" l="1"/>
  <c r="A8" i="42"/>
  <c r="B7" i="42"/>
  <c r="A7" i="42"/>
  <c r="B6" i="42"/>
  <c r="A6" i="42"/>
  <c r="B5" i="42"/>
  <c r="A5" i="42"/>
  <c r="B4" i="42"/>
  <c r="A4" i="42"/>
  <c r="B3" i="42"/>
  <c r="A3" i="42"/>
  <c r="B1" i="41" l="1"/>
  <c r="B2" i="41"/>
  <c r="K55" i="38" l="1"/>
  <c r="O27" i="2"/>
  <c r="O28" i="2"/>
  <c r="K63" i="38" l="1"/>
  <c r="K62" i="38"/>
  <c r="K61" i="38"/>
  <c r="K60" i="38"/>
  <c r="K59" i="38"/>
  <c r="K58" i="38"/>
  <c r="K57" i="38"/>
  <c r="K56" i="38"/>
  <c r="K54" i="38"/>
  <c r="K53" i="38"/>
  <c r="B3" i="35" l="1"/>
  <c r="B5" i="35"/>
  <c r="B6" i="35"/>
  <c r="B7" i="35"/>
  <c r="B8"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Q27" i="2"/>
  <c r="Q28" i="2"/>
  <c r="K11" i="2"/>
  <c r="U11" i="2" s="1"/>
  <c r="K12" i="2"/>
  <c r="U12" i="2" s="1"/>
  <c r="K13" i="2"/>
  <c r="U13" i="2" s="1"/>
  <c r="K14" i="2"/>
  <c r="U14" i="2" s="1"/>
  <c r="K15" i="2"/>
  <c r="U15" i="2" s="1"/>
  <c r="K16" i="2"/>
  <c r="U16" i="2" s="1"/>
  <c r="K17" i="2"/>
  <c r="U17" i="2" s="1"/>
  <c r="K18" i="2"/>
  <c r="U18" i="2" s="1"/>
  <c r="K19" i="2"/>
  <c r="U19" i="2" s="1"/>
  <c r="K20" i="2"/>
  <c r="U20" i="2" s="1"/>
  <c r="K21" i="2"/>
  <c r="U21" i="2" s="1"/>
  <c r="K22" i="2"/>
  <c r="U22" i="2" s="1"/>
  <c r="K23" i="2"/>
  <c r="U23" i="2" s="1"/>
  <c r="K24" i="2"/>
  <c r="U24" i="2" s="1"/>
  <c r="K25" i="2"/>
  <c r="U25" i="2" s="1"/>
  <c r="K26" i="2"/>
  <c r="U26" i="2" s="1"/>
  <c r="K10" i="2"/>
  <c r="U10" i="2" s="1"/>
  <c r="B6" i="28"/>
  <c r="B5" i="28"/>
  <c r="B3" i="28"/>
  <c r="A4" i="28"/>
  <c r="A5" i="28"/>
  <c r="A6" i="28"/>
  <c r="A3" i="28"/>
  <c r="B7" i="2"/>
  <c r="B6" i="2"/>
  <c r="B5" i="2"/>
  <c r="B4" i="2"/>
  <c r="B3" i="2"/>
  <c r="C7" i="2"/>
  <c r="C6" i="2"/>
  <c r="C5" i="2"/>
  <c r="C3" i="2"/>
  <c r="K57" i="18"/>
  <c r="K58" i="18"/>
  <c r="K59" i="18"/>
  <c r="K60" i="18"/>
  <c r="K61" i="18"/>
  <c r="K62" i="18"/>
  <c r="K63" i="18"/>
  <c r="K56" i="18"/>
  <c r="K54" i="18"/>
  <c r="K53" i="18"/>
  <c r="K27" i="2"/>
  <c r="U27" i="2" s="1"/>
  <c r="K28" i="2"/>
  <c r="U28" i="2" s="1"/>
  <c r="B19" i="37" l="1"/>
  <c r="B20" i="37"/>
  <c r="B22" i="37"/>
  <c r="B21" i="37"/>
  <c r="P345" i="2"/>
  <c r="N345" i="2" s="1"/>
  <c r="P394" i="2"/>
  <c r="N394" i="2" s="1"/>
  <c r="P480" i="2"/>
  <c r="N480" i="2" s="1"/>
  <c r="P205" i="2"/>
  <c r="N205" i="2" s="1"/>
  <c r="P230" i="2"/>
  <c r="N230" i="2" s="1"/>
  <c r="P321" i="2"/>
  <c r="N321" i="2" s="1"/>
  <c r="P418" i="2"/>
  <c r="N418" i="2" s="1"/>
  <c r="P346" i="2"/>
  <c r="N346" i="2" s="1"/>
  <c r="P481" i="2"/>
  <c r="N481" i="2" s="1"/>
  <c r="P358" i="2"/>
  <c r="N358" i="2" s="1"/>
  <c r="P570" i="2"/>
  <c r="N570" i="2" s="1"/>
  <c r="P545" i="2"/>
  <c r="N545" i="2" s="1"/>
  <c r="P219" i="2"/>
  <c r="N219" i="2" s="1"/>
  <c r="P231" i="2"/>
  <c r="N231" i="2" s="1"/>
  <c r="P396" i="2"/>
  <c r="N396" i="2" s="1"/>
  <c r="P419" i="2"/>
  <c r="N419" i="2" s="1"/>
  <c r="P347" i="2"/>
  <c r="N347" i="2" s="1"/>
  <c r="P533" i="2"/>
  <c r="N533" i="2" s="1"/>
  <c r="P508" i="2"/>
  <c r="N508" i="2" s="1"/>
  <c r="P61" i="2"/>
  <c r="N61" i="2" s="1"/>
  <c r="P420" i="2"/>
  <c r="N420" i="2" s="1"/>
  <c r="P118" i="2"/>
  <c r="N118" i="2" s="1"/>
  <c r="P183" i="2"/>
  <c r="N183" i="2" s="1"/>
  <c r="P337" i="2"/>
  <c r="N337" i="2" s="1"/>
  <c r="P348" i="2"/>
  <c r="N348" i="2" s="1"/>
  <c r="P373" i="2"/>
  <c r="N373" i="2" s="1"/>
  <c r="P497" i="2"/>
  <c r="N497" i="2" s="1"/>
  <c r="P548" i="2"/>
  <c r="N548" i="2" s="1"/>
  <c r="P158" i="2"/>
  <c r="N158" i="2" s="1"/>
  <c r="P421" i="2"/>
  <c r="N421" i="2" s="1"/>
  <c r="P459" i="2"/>
  <c r="N459" i="2" s="1"/>
  <c r="P184" i="2"/>
  <c r="N184" i="2" s="1"/>
  <c r="P349" i="2"/>
  <c r="N349" i="2" s="1"/>
  <c r="P274" i="2"/>
  <c r="N274" i="2" s="1"/>
  <c r="P498" i="2"/>
  <c r="N498" i="2" s="1"/>
  <c r="P287" i="2"/>
  <c r="N287" i="2" s="1"/>
  <c r="P313" i="2"/>
  <c r="N313" i="2" s="1"/>
  <c r="P536" i="2"/>
  <c r="N536" i="2" s="1"/>
  <c r="P210" i="2"/>
  <c r="N210" i="2" s="1"/>
  <c r="P339" i="2"/>
  <c r="N339" i="2" s="1"/>
  <c r="P422" i="2"/>
  <c r="N422" i="2" s="1"/>
  <c r="P524" i="2"/>
  <c r="N524" i="2" s="1"/>
  <c r="P375" i="2"/>
  <c r="N375" i="2" s="1"/>
  <c r="P363" i="2"/>
  <c r="N363" i="2" s="1"/>
  <c r="P499" i="2"/>
  <c r="N499" i="2" s="1"/>
  <c r="P454" i="2"/>
  <c r="N454" i="2" s="1"/>
  <c r="P52" i="2"/>
  <c r="N52" i="2" s="1"/>
  <c r="P423" i="2"/>
  <c r="N423" i="2" s="1"/>
  <c r="P67" i="2"/>
  <c r="N67" i="2" s="1"/>
  <c r="P364" i="2"/>
  <c r="N364" i="2" s="1"/>
  <c r="P401" i="2"/>
  <c r="N401" i="2" s="1"/>
  <c r="P187" i="2"/>
  <c r="N187" i="2" s="1"/>
  <c r="P225" i="2"/>
  <c r="N225" i="2" s="1"/>
  <c r="P514" i="2"/>
  <c r="N514" i="2" s="1"/>
  <c r="P137" i="2"/>
  <c r="N137" i="2" s="1"/>
  <c r="P201" i="2"/>
  <c r="N201" i="2" s="1"/>
  <c r="P69" i="2"/>
  <c r="N69" i="2" s="1"/>
  <c r="P417" i="2"/>
  <c r="N417" i="2" s="1"/>
  <c r="P343" i="2"/>
  <c r="N343" i="2" s="1"/>
  <c r="P354" i="2"/>
  <c r="N354" i="2" s="1"/>
  <c r="P189" i="2"/>
  <c r="N189" i="2" s="1"/>
  <c r="P227" i="2"/>
  <c r="N227" i="2" s="1"/>
  <c r="P279" i="2"/>
  <c r="N279" i="2" s="1"/>
  <c r="P392" i="2"/>
  <c r="N392" i="2" s="1"/>
  <c r="P567" i="2"/>
  <c r="N567" i="2" s="1"/>
  <c r="P416" i="2"/>
  <c r="N416" i="2" s="1"/>
  <c r="P529" i="2"/>
  <c r="N529" i="2" s="1"/>
  <c r="P178" i="2"/>
  <c r="N178" i="2" s="1"/>
  <c r="P344" i="2"/>
  <c r="N344" i="2" s="1"/>
  <c r="P479" i="2"/>
  <c r="N479" i="2" s="1"/>
  <c r="P568" i="2"/>
  <c r="N568" i="2" s="1"/>
  <c r="P139" i="2"/>
  <c r="N139" i="2" s="1"/>
  <c r="P16" i="37"/>
  <c r="P21" i="37"/>
  <c r="P17" i="37"/>
  <c r="P22" i="37"/>
  <c r="P19" i="37"/>
  <c r="P15" i="37"/>
  <c r="P18" i="37"/>
  <c r="P14" i="37"/>
  <c r="P20" i="37"/>
  <c r="P13" i="37"/>
  <c r="R11" i="2"/>
  <c r="R51" i="2"/>
  <c r="R91" i="2"/>
  <c r="R131" i="2"/>
  <c r="R171" i="2"/>
  <c r="R211" i="2"/>
  <c r="R251" i="2"/>
  <c r="R291" i="2"/>
  <c r="R331" i="2"/>
  <c r="R371" i="2"/>
  <c r="R411" i="2"/>
  <c r="R451" i="2"/>
  <c r="R491" i="2"/>
  <c r="R531" i="2"/>
  <c r="R571" i="2"/>
  <c r="R425" i="2"/>
  <c r="R330" i="2"/>
  <c r="R12" i="2"/>
  <c r="R52" i="2"/>
  <c r="R92" i="2"/>
  <c r="R132" i="2"/>
  <c r="R172" i="2"/>
  <c r="R212" i="2"/>
  <c r="R252" i="2"/>
  <c r="R292" i="2"/>
  <c r="R332" i="2"/>
  <c r="R372" i="2"/>
  <c r="R412" i="2"/>
  <c r="R452" i="2"/>
  <c r="R492" i="2"/>
  <c r="R532" i="2"/>
  <c r="R572" i="2"/>
  <c r="R305" i="2"/>
  <c r="R370" i="2"/>
  <c r="R13" i="2"/>
  <c r="R53" i="2"/>
  <c r="R93" i="2"/>
  <c r="R133" i="2"/>
  <c r="R173" i="2"/>
  <c r="R213" i="2"/>
  <c r="R253" i="2"/>
  <c r="R293" i="2"/>
  <c r="R333" i="2"/>
  <c r="R373" i="2"/>
  <c r="R413" i="2"/>
  <c r="R453" i="2"/>
  <c r="R493" i="2"/>
  <c r="R533" i="2"/>
  <c r="R573" i="2"/>
  <c r="R385" i="2"/>
  <c r="R508" i="2"/>
  <c r="R436" i="2"/>
  <c r="R14" i="2"/>
  <c r="R54" i="2"/>
  <c r="R94" i="2"/>
  <c r="R134" i="2"/>
  <c r="R174" i="2"/>
  <c r="R214" i="2"/>
  <c r="R254" i="2"/>
  <c r="R294" i="2"/>
  <c r="R334" i="2"/>
  <c r="R374" i="2"/>
  <c r="R414" i="2"/>
  <c r="R454" i="2"/>
  <c r="R494" i="2"/>
  <c r="R534" i="2"/>
  <c r="R574" i="2"/>
  <c r="R249" i="2"/>
  <c r="R15" i="2"/>
  <c r="R55" i="2"/>
  <c r="R95" i="2"/>
  <c r="R135" i="2"/>
  <c r="R175" i="2"/>
  <c r="R215" i="2"/>
  <c r="R255" i="2"/>
  <c r="R295" i="2"/>
  <c r="R335" i="2"/>
  <c r="R375" i="2"/>
  <c r="R415" i="2"/>
  <c r="R455" i="2"/>
  <c r="R495" i="2"/>
  <c r="R535" i="2"/>
  <c r="R575" i="2"/>
  <c r="R465" i="2"/>
  <c r="R476" i="2"/>
  <c r="R450" i="2"/>
  <c r="R16" i="2"/>
  <c r="R56" i="2"/>
  <c r="R96" i="2"/>
  <c r="R136" i="2"/>
  <c r="R176" i="2"/>
  <c r="R216" i="2"/>
  <c r="R256" i="2"/>
  <c r="R296" i="2"/>
  <c r="R336" i="2"/>
  <c r="R376" i="2"/>
  <c r="R416" i="2"/>
  <c r="R456" i="2"/>
  <c r="R496" i="2"/>
  <c r="R536" i="2"/>
  <c r="R576" i="2"/>
  <c r="R586" i="2"/>
  <c r="R17" i="2"/>
  <c r="R57" i="2"/>
  <c r="R97" i="2"/>
  <c r="R137" i="2"/>
  <c r="R177" i="2"/>
  <c r="R217" i="2"/>
  <c r="R257" i="2"/>
  <c r="R297" i="2"/>
  <c r="R337" i="2"/>
  <c r="R377" i="2"/>
  <c r="R417" i="2"/>
  <c r="R457" i="2"/>
  <c r="R497" i="2"/>
  <c r="R537" i="2"/>
  <c r="R577" i="2"/>
  <c r="R10" i="2"/>
  <c r="R345" i="2"/>
  <c r="R209" i="2"/>
  <c r="R18" i="2"/>
  <c r="R58" i="2"/>
  <c r="R98" i="2"/>
  <c r="R138" i="2"/>
  <c r="R178" i="2"/>
  <c r="R218" i="2"/>
  <c r="R258" i="2"/>
  <c r="R298" i="2"/>
  <c r="R338" i="2"/>
  <c r="R378" i="2"/>
  <c r="R418" i="2"/>
  <c r="R458" i="2"/>
  <c r="R498" i="2"/>
  <c r="R538" i="2"/>
  <c r="R578" i="2"/>
  <c r="R505" i="2"/>
  <c r="R506" i="2"/>
  <c r="R50" i="2"/>
  <c r="R19" i="2"/>
  <c r="R59" i="2"/>
  <c r="R99" i="2"/>
  <c r="R139" i="2"/>
  <c r="R179" i="2"/>
  <c r="R219" i="2"/>
  <c r="R259" i="2"/>
  <c r="R299" i="2"/>
  <c r="R339" i="2"/>
  <c r="R379" i="2"/>
  <c r="R419" i="2"/>
  <c r="R459" i="2"/>
  <c r="R499" i="2"/>
  <c r="R539" i="2"/>
  <c r="R579" i="2"/>
  <c r="R545" i="2"/>
  <c r="R546" i="2"/>
  <c r="R588" i="2"/>
  <c r="R20" i="2"/>
  <c r="R60" i="2"/>
  <c r="R100" i="2"/>
  <c r="R140" i="2"/>
  <c r="R180" i="2"/>
  <c r="R220" i="2"/>
  <c r="R260" i="2"/>
  <c r="R300" i="2"/>
  <c r="R340" i="2"/>
  <c r="R380" i="2"/>
  <c r="R420" i="2"/>
  <c r="R460" i="2"/>
  <c r="R500" i="2"/>
  <c r="R540" i="2"/>
  <c r="R580" i="2"/>
  <c r="R426" i="2"/>
  <c r="R367" i="2"/>
  <c r="R21" i="2"/>
  <c r="R61" i="2"/>
  <c r="R101" i="2"/>
  <c r="R141" i="2"/>
  <c r="R181" i="2"/>
  <c r="R221" i="2"/>
  <c r="R261" i="2"/>
  <c r="R301" i="2"/>
  <c r="R341" i="2"/>
  <c r="R381" i="2"/>
  <c r="R421" i="2"/>
  <c r="R461" i="2"/>
  <c r="R501" i="2"/>
  <c r="R541" i="2"/>
  <c r="R581" i="2"/>
  <c r="R561" i="2"/>
  <c r="R487" i="2"/>
  <c r="R490" i="2"/>
  <c r="R22" i="2"/>
  <c r="R62" i="2"/>
  <c r="R102" i="2"/>
  <c r="R142" i="2"/>
  <c r="R182" i="2"/>
  <c r="R222" i="2"/>
  <c r="R262" i="2"/>
  <c r="R302" i="2"/>
  <c r="R342" i="2"/>
  <c r="R382" i="2"/>
  <c r="R422" i="2"/>
  <c r="R462" i="2"/>
  <c r="R502" i="2"/>
  <c r="R542" i="2"/>
  <c r="R582" i="2"/>
  <c r="R386" i="2"/>
  <c r="R548" i="2"/>
  <c r="R23" i="2"/>
  <c r="R63" i="2"/>
  <c r="R103" i="2"/>
  <c r="R143" i="2"/>
  <c r="R183" i="2"/>
  <c r="R223" i="2"/>
  <c r="R263" i="2"/>
  <c r="R303" i="2"/>
  <c r="R343" i="2"/>
  <c r="R383" i="2"/>
  <c r="R423" i="2"/>
  <c r="R463" i="2"/>
  <c r="R503" i="2"/>
  <c r="R543" i="2"/>
  <c r="R583" i="2"/>
  <c r="R585" i="2"/>
  <c r="R466" i="2"/>
  <c r="R556" i="2"/>
  <c r="R24" i="2"/>
  <c r="R64" i="2"/>
  <c r="R104" i="2"/>
  <c r="R144" i="2"/>
  <c r="R184" i="2"/>
  <c r="R224" i="2"/>
  <c r="R264" i="2"/>
  <c r="R304" i="2"/>
  <c r="R344" i="2"/>
  <c r="R384" i="2"/>
  <c r="R424" i="2"/>
  <c r="R464" i="2"/>
  <c r="R504" i="2"/>
  <c r="R544" i="2"/>
  <c r="R584" i="2"/>
  <c r="R25" i="2"/>
  <c r="R65" i="2"/>
  <c r="R105" i="2"/>
  <c r="R145" i="2"/>
  <c r="R185" i="2"/>
  <c r="R225" i="2"/>
  <c r="R265" i="2"/>
  <c r="R449" i="2"/>
  <c r="R26" i="2"/>
  <c r="R66" i="2"/>
  <c r="R106" i="2"/>
  <c r="R146" i="2"/>
  <c r="R186" i="2"/>
  <c r="R226" i="2"/>
  <c r="R266" i="2"/>
  <c r="R306" i="2"/>
  <c r="R346" i="2"/>
  <c r="R27" i="2"/>
  <c r="R67" i="2"/>
  <c r="R107" i="2"/>
  <c r="R147" i="2"/>
  <c r="R187" i="2"/>
  <c r="R227" i="2"/>
  <c r="R267" i="2"/>
  <c r="R307" i="2"/>
  <c r="R347" i="2"/>
  <c r="R387" i="2"/>
  <c r="R427" i="2"/>
  <c r="R467" i="2"/>
  <c r="R507" i="2"/>
  <c r="R547" i="2"/>
  <c r="R587" i="2"/>
  <c r="R28" i="2"/>
  <c r="R68" i="2"/>
  <c r="R108" i="2"/>
  <c r="R148" i="2"/>
  <c r="R188" i="2"/>
  <c r="R228" i="2"/>
  <c r="R268" i="2"/>
  <c r="R308" i="2"/>
  <c r="R348" i="2"/>
  <c r="R388" i="2"/>
  <c r="R428" i="2"/>
  <c r="R468" i="2"/>
  <c r="R567" i="2"/>
  <c r="R29" i="2"/>
  <c r="R69" i="2"/>
  <c r="R109" i="2"/>
  <c r="R149" i="2"/>
  <c r="R189" i="2"/>
  <c r="R229" i="2"/>
  <c r="R269" i="2"/>
  <c r="R309" i="2"/>
  <c r="R349" i="2"/>
  <c r="R389" i="2"/>
  <c r="R429" i="2"/>
  <c r="R469" i="2"/>
  <c r="R509" i="2"/>
  <c r="R549" i="2"/>
  <c r="R589" i="2"/>
  <c r="R90" i="2"/>
  <c r="R30" i="2"/>
  <c r="R70" i="2"/>
  <c r="R110" i="2"/>
  <c r="R150" i="2"/>
  <c r="R190" i="2"/>
  <c r="R230" i="2"/>
  <c r="R270" i="2"/>
  <c r="R310" i="2"/>
  <c r="R350" i="2"/>
  <c r="R390" i="2"/>
  <c r="R430" i="2"/>
  <c r="R470" i="2"/>
  <c r="R510" i="2"/>
  <c r="R550" i="2"/>
  <c r="R407" i="2"/>
  <c r="R31" i="2"/>
  <c r="R71" i="2"/>
  <c r="R111" i="2"/>
  <c r="R151" i="2"/>
  <c r="R191" i="2"/>
  <c r="R231" i="2"/>
  <c r="R271" i="2"/>
  <c r="R311" i="2"/>
  <c r="R351" i="2"/>
  <c r="R391" i="2"/>
  <c r="R431" i="2"/>
  <c r="R471" i="2"/>
  <c r="R511" i="2"/>
  <c r="R551" i="2"/>
  <c r="R529" i="2"/>
  <c r="R32" i="2"/>
  <c r="R72" i="2"/>
  <c r="R112" i="2"/>
  <c r="R152" i="2"/>
  <c r="R192" i="2"/>
  <c r="R232" i="2"/>
  <c r="R272" i="2"/>
  <c r="R312" i="2"/>
  <c r="R352" i="2"/>
  <c r="R392" i="2"/>
  <c r="R432" i="2"/>
  <c r="R472" i="2"/>
  <c r="R512" i="2"/>
  <c r="R552" i="2"/>
  <c r="R250" i="2"/>
  <c r="R33" i="2"/>
  <c r="R73" i="2"/>
  <c r="R113" i="2"/>
  <c r="R153" i="2"/>
  <c r="R193" i="2"/>
  <c r="R233" i="2"/>
  <c r="R273" i="2"/>
  <c r="R313" i="2"/>
  <c r="R353" i="2"/>
  <c r="R393" i="2"/>
  <c r="R433" i="2"/>
  <c r="R473" i="2"/>
  <c r="R513" i="2"/>
  <c r="R553" i="2"/>
  <c r="R289" i="2"/>
  <c r="R34" i="2"/>
  <c r="R74" i="2"/>
  <c r="R114" i="2"/>
  <c r="R154" i="2"/>
  <c r="R194" i="2"/>
  <c r="R234" i="2"/>
  <c r="R274" i="2"/>
  <c r="R314" i="2"/>
  <c r="R354" i="2"/>
  <c r="R394" i="2"/>
  <c r="R434" i="2"/>
  <c r="R474" i="2"/>
  <c r="R514" i="2"/>
  <c r="R554" i="2"/>
  <c r="R526" i="2"/>
  <c r="R35" i="2"/>
  <c r="R75" i="2"/>
  <c r="R115" i="2"/>
  <c r="R155" i="2"/>
  <c r="R195" i="2"/>
  <c r="R235" i="2"/>
  <c r="R275" i="2"/>
  <c r="R315" i="2"/>
  <c r="R355" i="2"/>
  <c r="R395" i="2"/>
  <c r="R435" i="2"/>
  <c r="R475" i="2"/>
  <c r="R515" i="2"/>
  <c r="R555" i="2"/>
  <c r="R170" i="2"/>
  <c r="R36" i="2"/>
  <c r="R76" i="2"/>
  <c r="R116" i="2"/>
  <c r="R156" i="2"/>
  <c r="R196" i="2"/>
  <c r="R236" i="2"/>
  <c r="R276" i="2"/>
  <c r="R316" i="2"/>
  <c r="R356" i="2"/>
  <c r="R396" i="2"/>
  <c r="R516" i="2"/>
  <c r="R486" i="2"/>
  <c r="R570" i="2"/>
  <c r="R37" i="2"/>
  <c r="R77" i="2"/>
  <c r="R117" i="2"/>
  <c r="R157" i="2"/>
  <c r="R197" i="2"/>
  <c r="R237" i="2"/>
  <c r="R277" i="2"/>
  <c r="R317" i="2"/>
  <c r="R357" i="2"/>
  <c r="R397" i="2"/>
  <c r="R437" i="2"/>
  <c r="R477" i="2"/>
  <c r="R517" i="2"/>
  <c r="R557" i="2"/>
  <c r="R38" i="2"/>
  <c r="R78" i="2"/>
  <c r="R118" i="2"/>
  <c r="R158" i="2"/>
  <c r="R198" i="2"/>
  <c r="R238" i="2"/>
  <c r="R278" i="2"/>
  <c r="R318" i="2"/>
  <c r="R358" i="2"/>
  <c r="R398" i="2"/>
  <c r="R438" i="2"/>
  <c r="R478" i="2"/>
  <c r="R518" i="2"/>
  <c r="R558" i="2"/>
  <c r="R39" i="2"/>
  <c r="R79" i="2"/>
  <c r="R119" i="2"/>
  <c r="R159" i="2"/>
  <c r="R199" i="2"/>
  <c r="R239" i="2"/>
  <c r="R279" i="2"/>
  <c r="R319" i="2"/>
  <c r="R359" i="2"/>
  <c r="R399" i="2"/>
  <c r="R439" i="2"/>
  <c r="R479" i="2"/>
  <c r="R519" i="2"/>
  <c r="R559" i="2"/>
  <c r="R40" i="2"/>
  <c r="R80" i="2"/>
  <c r="R120" i="2"/>
  <c r="R160" i="2"/>
  <c r="R200" i="2"/>
  <c r="R240" i="2"/>
  <c r="R280" i="2"/>
  <c r="R320" i="2"/>
  <c r="R360" i="2"/>
  <c r="R400" i="2"/>
  <c r="R440" i="2"/>
  <c r="R480" i="2"/>
  <c r="R520" i="2"/>
  <c r="R560" i="2"/>
  <c r="R210" i="2"/>
  <c r="R41" i="2"/>
  <c r="R81" i="2"/>
  <c r="R121" i="2"/>
  <c r="R161" i="2"/>
  <c r="R201" i="2"/>
  <c r="R241" i="2"/>
  <c r="R281" i="2"/>
  <c r="R321" i="2"/>
  <c r="R361" i="2"/>
  <c r="R401" i="2"/>
  <c r="R441" i="2"/>
  <c r="R481" i="2"/>
  <c r="R521" i="2"/>
  <c r="R447" i="2"/>
  <c r="R410" i="2"/>
  <c r="R42" i="2"/>
  <c r="R82" i="2"/>
  <c r="R122" i="2"/>
  <c r="R162" i="2"/>
  <c r="R202" i="2"/>
  <c r="R242" i="2"/>
  <c r="R282" i="2"/>
  <c r="R322" i="2"/>
  <c r="R362" i="2"/>
  <c r="R402" i="2"/>
  <c r="R442" i="2"/>
  <c r="R482" i="2"/>
  <c r="R522" i="2"/>
  <c r="R562" i="2"/>
  <c r="R530" i="2"/>
  <c r="R43" i="2"/>
  <c r="R83" i="2"/>
  <c r="R123" i="2"/>
  <c r="R163" i="2"/>
  <c r="R203" i="2"/>
  <c r="R243" i="2"/>
  <c r="R283" i="2"/>
  <c r="R323" i="2"/>
  <c r="R363" i="2"/>
  <c r="R403" i="2"/>
  <c r="R443" i="2"/>
  <c r="R483" i="2"/>
  <c r="R523" i="2"/>
  <c r="R563" i="2"/>
  <c r="R566" i="2"/>
  <c r="R369" i="2"/>
  <c r="R44" i="2"/>
  <c r="R84" i="2"/>
  <c r="R124" i="2"/>
  <c r="R164" i="2"/>
  <c r="R204" i="2"/>
  <c r="R244" i="2"/>
  <c r="R284" i="2"/>
  <c r="R324" i="2"/>
  <c r="R364" i="2"/>
  <c r="R404" i="2"/>
  <c r="R444" i="2"/>
  <c r="R484" i="2"/>
  <c r="R524" i="2"/>
  <c r="R564" i="2"/>
  <c r="R409" i="2"/>
  <c r="R45" i="2"/>
  <c r="R85" i="2"/>
  <c r="R125" i="2"/>
  <c r="R165" i="2"/>
  <c r="R205" i="2"/>
  <c r="R245" i="2"/>
  <c r="R285" i="2"/>
  <c r="R325" i="2"/>
  <c r="R365" i="2"/>
  <c r="R405" i="2"/>
  <c r="R445" i="2"/>
  <c r="R485" i="2"/>
  <c r="R525" i="2"/>
  <c r="R565" i="2"/>
  <c r="R329" i="2"/>
  <c r="R46" i="2"/>
  <c r="R86" i="2"/>
  <c r="R126" i="2"/>
  <c r="R166" i="2"/>
  <c r="R206" i="2"/>
  <c r="R246" i="2"/>
  <c r="R286" i="2"/>
  <c r="R326" i="2"/>
  <c r="R366" i="2"/>
  <c r="R406" i="2"/>
  <c r="R446" i="2"/>
  <c r="R569" i="2"/>
  <c r="R47" i="2"/>
  <c r="R87" i="2"/>
  <c r="R127" i="2"/>
  <c r="R167" i="2"/>
  <c r="R207" i="2"/>
  <c r="R247" i="2"/>
  <c r="R287" i="2"/>
  <c r="R327" i="2"/>
  <c r="R527" i="2"/>
  <c r="R290" i="2"/>
  <c r="R48" i="2"/>
  <c r="R88" i="2"/>
  <c r="R128" i="2"/>
  <c r="R168" i="2"/>
  <c r="R208" i="2"/>
  <c r="R248" i="2"/>
  <c r="R288" i="2"/>
  <c r="R328" i="2"/>
  <c r="R368" i="2"/>
  <c r="R408" i="2"/>
  <c r="R448" i="2"/>
  <c r="R488" i="2"/>
  <c r="R528" i="2"/>
  <c r="R568" i="2"/>
  <c r="R130" i="2"/>
  <c r="R49" i="2"/>
  <c r="R89" i="2"/>
  <c r="R129" i="2"/>
  <c r="R169" i="2"/>
  <c r="R489" i="2"/>
  <c r="Q15" i="37"/>
  <c r="Q16" i="37"/>
  <c r="Q17" i="37"/>
  <c r="Q18" i="37"/>
  <c r="Q20" i="37"/>
  <c r="Q21" i="37"/>
  <c r="Q22" i="37"/>
  <c r="E19" i="37"/>
  <c r="D19" i="37"/>
  <c r="E20" i="37"/>
  <c r="D20" i="37"/>
  <c r="E21" i="37"/>
  <c r="D21" i="37"/>
  <c r="P46" i="2"/>
  <c r="N46" i="2" s="1"/>
  <c r="P58" i="2"/>
  <c r="N58" i="2" s="1"/>
  <c r="P129" i="2"/>
  <c r="N129" i="2" s="1"/>
  <c r="P186" i="2"/>
  <c r="N186" i="2" s="1"/>
  <c r="P369" i="2"/>
  <c r="N369" i="2" s="1"/>
  <c r="P433" i="2"/>
  <c r="N433" i="2" s="1"/>
  <c r="P452" i="2"/>
  <c r="N452" i="2" s="1"/>
  <c r="P502" i="2"/>
  <c r="N502" i="2" s="1"/>
  <c r="P506" i="2"/>
  <c r="N506" i="2" s="1"/>
  <c r="P582" i="2"/>
  <c r="N582" i="2" s="1"/>
  <c r="P53" i="2"/>
  <c r="N53" i="2" s="1"/>
  <c r="P589" i="2"/>
  <c r="N589" i="2" s="1"/>
  <c r="P50" i="2"/>
  <c r="N50" i="2" s="1"/>
  <c r="P62" i="2"/>
  <c r="N62" i="2" s="1"/>
  <c r="P106" i="2"/>
  <c r="N106" i="2" s="1"/>
  <c r="P152" i="2"/>
  <c r="N152" i="2" s="1"/>
  <c r="P171" i="2"/>
  <c r="N171" i="2" s="1"/>
  <c r="P247" i="2"/>
  <c r="N247" i="2" s="1"/>
  <c r="P278" i="2"/>
  <c r="N278" i="2" s="1"/>
  <c r="P293" i="2"/>
  <c r="N293" i="2" s="1"/>
  <c r="P297" i="2"/>
  <c r="N297" i="2" s="1"/>
  <c r="P316" i="2"/>
  <c r="N316" i="2" s="1"/>
  <c r="P411" i="2"/>
  <c r="N411" i="2" s="1"/>
  <c r="P586" i="2"/>
  <c r="N586" i="2" s="1"/>
  <c r="P29" i="2"/>
  <c r="N29" i="2" s="1"/>
  <c r="P110" i="2"/>
  <c r="N110" i="2" s="1"/>
  <c r="P133" i="2"/>
  <c r="N133" i="2" s="1"/>
  <c r="P175" i="2"/>
  <c r="N175" i="2" s="1"/>
  <c r="P209" i="2"/>
  <c r="N209" i="2" s="1"/>
  <c r="P228" i="2"/>
  <c r="N228" i="2" s="1"/>
  <c r="P320" i="2"/>
  <c r="N320" i="2" s="1"/>
  <c r="P350" i="2"/>
  <c r="N350" i="2" s="1"/>
  <c r="P437" i="2"/>
  <c r="N437" i="2" s="1"/>
  <c r="P456" i="2"/>
  <c r="N456" i="2" s="1"/>
  <c r="P483" i="2"/>
  <c r="N483" i="2" s="1"/>
  <c r="P510" i="2"/>
  <c r="N510" i="2" s="1"/>
  <c r="P552" i="2"/>
  <c r="N552" i="2" s="1"/>
  <c r="P353" i="2"/>
  <c r="N353" i="2" s="1"/>
  <c r="P156" i="2"/>
  <c r="N156" i="2" s="1"/>
  <c r="P251" i="2"/>
  <c r="N251" i="2" s="1"/>
  <c r="P301" i="2"/>
  <c r="N301" i="2" s="1"/>
  <c r="P415" i="2"/>
  <c r="N415" i="2" s="1"/>
  <c r="P487" i="2"/>
  <c r="N487" i="2" s="1"/>
  <c r="P281" i="2"/>
  <c r="N281" i="2" s="1"/>
  <c r="P517" i="2"/>
  <c r="N517" i="2" s="1"/>
  <c r="P114" i="2"/>
  <c r="N114" i="2" s="1"/>
  <c r="P324" i="2"/>
  <c r="N324" i="2" s="1"/>
  <c r="P460" i="2"/>
  <c r="N460" i="2" s="1"/>
  <c r="P556" i="2"/>
  <c r="N556" i="2" s="1"/>
  <c r="P323" i="2"/>
  <c r="N323" i="2" s="1"/>
  <c r="P395" i="2"/>
  <c r="N395" i="2" s="1"/>
  <c r="P555" i="2"/>
  <c r="N555" i="2" s="1"/>
  <c r="P212" i="2"/>
  <c r="N212" i="2" s="1"/>
  <c r="P254" i="2"/>
  <c r="N254" i="2" s="1"/>
  <c r="P304" i="2"/>
  <c r="N304" i="2" s="1"/>
  <c r="P357" i="2"/>
  <c r="N357" i="2" s="1"/>
  <c r="P327" i="2"/>
  <c r="N327" i="2" s="1"/>
  <c r="P87" i="2"/>
  <c r="N87" i="2" s="1"/>
  <c r="P160" i="2"/>
  <c r="N160" i="2" s="1"/>
  <c r="P179" i="2"/>
  <c r="N179" i="2" s="1"/>
  <c r="P190" i="2"/>
  <c r="N190" i="2" s="1"/>
  <c r="P213" i="2"/>
  <c r="N213" i="2" s="1"/>
  <c r="P255" i="2"/>
  <c r="N255" i="2" s="1"/>
  <c r="P282" i="2"/>
  <c r="N282" i="2" s="1"/>
  <c r="P305" i="2"/>
  <c r="N305" i="2" s="1"/>
  <c r="P377" i="2"/>
  <c r="N377" i="2" s="1"/>
  <c r="P441" i="2"/>
  <c r="N441" i="2" s="1"/>
  <c r="P464" i="2"/>
  <c r="N464" i="2" s="1"/>
  <c r="P491" i="2"/>
  <c r="N491" i="2" s="1"/>
  <c r="P537" i="2"/>
  <c r="N537" i="2" s="1"/>
  <c r="P560" i="2"/>
  <c r="N560" i="2" s="1"/>
  <c r="P571" i="2"/>
  <c r="N571" i="2" s="1"/>
  <c r="P136" i="2"/>
  <c r="N136" i="2" s="1"/>
  <c r="P31" i="2"/>
  <c r="N31" i="2" s="1"/>
  <c r="P79" i="2"/>
  <c r="N79" i="2" s="1"/>
  <c r="P83" i="2"/>
  <c r="N83" i="2" s="1"/>
  <c r="P91" i="2"/>
  <c r="N91" i="2" s="1"/>
  <c r="P217" i="2"/>
  <c r="N217" i="2" s="1"/>
  <c r="P232" i="2"/>
  <c r="N232" i="2" s="1"/>
  <c r="P259" i="2"/>
  <c r="N259" i="2" s="1"/>
  <c r="P263" i="2"/>
  <c r="N263" i="2" s="1"/>
  <c r="P286" i="2"/>
  <c r="N286" i="2" s="1"/>
  <c r="P328" i="2"/>
  <c r="N328" i="2" s="1"/>
  <c r="P362" i="2"/>
  <c r="N362" i="2" s="1"/>
  <c r="P381" i="2"/>
  <c r="N381" i="2" s="1"/>
  <c r="P400" i="2"/>
  <c r="N400" i="2" s="1"/>
  <c r="P426" i="2"/>
  <c r="N426" i="2" s="1"/>
  <c r="P468" i="2"/>
  <c r="N468" i="2" s="1"/>
  <c r="P472" i="2"/>
  <c r="N472" i="2" s="1"/>
  <c r="P518" i="2"/>
  <c r="N518" i="2" s="1"/>
  <c r="P522" i="2"/>
  <c r="N522" i="2" s="1"/>
  <c r="P575" i="2"/>
  <c r="N575" i="2" s="1"/>
  <c r="P122" i="2"/>
  <c r="N122" i="2" s="1"/>
  <c r="P164" i="2"/>
  <c r="N164" i="2" s="1"/>
  <c r="P194" i="2"/>
  <c r="N194" i="2" s="1"/>
  <c r="P198" i="2"/>
  <c r="N198" i="2" s="1"/>
  <c r="P221" i="2"/>
  <c r="N221" i="2" s="1"/>
  <c r="P267" i="2"/>
  <c r="N267" i="2" s="1"/>
  <c r="P309" i="2"/>
  <c r="N309" i="2" s="1"/>
  <c r="P385" i="2"/>
  <c r="N385" i="2" s="1"/>
  <c r="P404" i="2"/>
  <c r="N404" i="2" s="1"/>
  <c r="P445" i="2"/>
  <c r="N445" i="2" s="1"/>
  <c r="P495" i="2"/>
  <c r="N495" i="2" s="1"/>
  <c r="P541" i="2"/>
  <c r="N541" i="2" s="1"/>
  <c r="P564" i="2"/>
  <c r="N564" i="2" s="1"/>
  <c r="P65" i="2"/>
  <c r="N65" i="2" s="1"/>
  <c r="P300" i="2"/>
  <c r="N300" i="2" s="1"/>
  <c r="P35" i="2"/>
  <c r="N35" i="2" s="1"/>
  <c r="P39" i="2"/>
  <c r="N39" i="2" s="1"/>
  <c r="P43" i="2"/>
  <c r="N43" i="2" s="1"/>
  <c r="P75" i="2"/>
  <c r="N75" i="2" s="1"/>
  <c r="P95" i="2"/>
  <c r="N95" i="2" s="1"/>
  <c r="P99" i="2"/>
  <c r="N99" i="2" s="1"/>
  <c r="P126" i="2"/>
  <c r="N126" i="2" s="1"/>
  <c r="P141" i="2"/>
  <c r="N141" i="2" s="1"/>
  <c r="P145" i="2"/>
  <c r="N145" i="2" s="1"/>
  <c r="P236" i="2"/>
  <c r="N236" i="2" s="1"/>
  <c r="P240" i="2"/>
  <c r="N240" i="2" s="1"/>
  <c r="P271" i="2"/>
  <c r="N271" i="2" s="1"/>
  <c r="P332" i="2"/>
  <c r="N332" i="2" s="1"/>
  <c r="P389" i="2"/>
  <c r="N389" i="2" s="1"/>
  <c r="P430" i="2"/>
  <c r="N430" i="2" s="1"/>
  <c r="P449" i="2"/>
  <c r="N449" i="2" s="1"/>
  <c r="P476" i="2"/>
  <c r="N476" i="2" s="1"/>
  <c r="P526" i="2"/>
  <c r="N526" i="2" s="1"/>
  <c r="P208" i="2"/>
  <c r="N208" i="2" s="1"/>
  <c r="P486" i="2"/>
  <c r="N486" i="2" s="1"/>
  <c r="P490" i="2"/>
  <c r="N490" i="2" s="1"/>
  <c r="P440" i="2"/>
  <c r="N440" i="2" s="1"/>
  <c r="P51" i="2"/>
  <c r="N51" i="2" s="1"/>
  <c r="P55" i="2"/>
  <c r="N55" i="2" s="1"/>
  <c r="P103" i="2"/>
  <c r="N103" i="2" s="1"/>
  <c r="P149" i="2"/>
  <c r="N149" i="2" s="1"/>
  <c r="P290" i="2"/>
  <c r="N290" i="2" s="1"/>
  <c r="P336" i="2"/>
  <c r="N336" i="2" s="1"/>
  <c r="P366" i="2"/>
  <c r="N366" i="2" s="1"/>
  <c r="P408" i="2"/>
  <c r="N408" i="2" s="1"/>
  <c r="P579" i="2"/>
  <c r="N579" i="2" s="1"/>
  <c r="P342" i="2"/>
  <c r="N342" i="2" s="1"/>
  <c r="P463" i="2"/>
  <c r="N463" i="2" s="1"/>
  <c r="P47" i="2"/>
  <c r="N47" i="2" s="1"/>
  <c r="P59" i="2"/>
  <c r="N59" i="2" s="1"/>
  <c r="P71" i="2"/>
  <c r="N71" i="2" s="1"/>
  <c r="P168" i="2"/>
  <c r="N168" i="2" s="1"/>
  <c r="P202" i="2"/>
  <c r="N202" i="2" s="1"/>
  <c r="P244" i="2"/>
  <c r="N244" i="2" s="1"/>
  <c r="P275" i="2"/>
  <c r="N275" i="2" s="1"/>
  <c r="P370" i="2"/>
  <c r="N370" i="2" s="1"/>
  <c r="P434" i="2"/>
  <c r="N434" i="2" s="1"/>
  <c r="P503" i="2"/>
  <c r="N503" i="2" s="1"/>
  <c r="P507" i="2"/>
  <c r="N507" i="2" s="1"/>
  <c r="P549" i="2"/>
  <c r="N549" i="2" s="1"/>
  <c r="P583" i="2"/>
  <c r="N583" i="2" s="1"/>
  <c r="P73" i="2"/>
  <c r="N73" i="2" s="1"/>
  <c r="P432" i="2"/>
  <c r="N432" i="2" s="1"/>
  <c r="P174" i="2"/>
  <c r="N174" i="2" s="1"/>
  <c r="P63" i="2"/>
  <c r="N63" i="2" s="1"/>
  <c r="P107" i="2"/>
  <c r="N107" i="2" s="1"/>
  <c r="P130" i="2"/>
  <c r="N130" i="2" s="1"/>
  <c r="P172" i="2"/>
  <c r="N172" i="2" s="1"/>
  <c r="P248" i="2"/>
  <c r="N248" i="2" s="1"/>
  <c r="P294" i="2"/>
  <c r="N294" i="2" s="1"/>
  <c r="P317" i="2"/>
  <c r="N317" i="2" s="1"/>
  <c r="P393" i="2"/>
  <c r="N393" i="2" s="1"/>
  <c r="P412" i="2"/>
  <c r="N412" i="2" s="1"/>
  <c r="P453" i="2"/>
  <c r="N453" i="2" s="1"/>
  <c r="P530" i="2"/>
  <c r="N530" i="2" s="1"/>
  <c r="P547" i="2"/>
  <c r="N547" i="2" s="1"/>
  <c r="P109" i="2"/>
  <c r="N109" i="2" s="1"/>
  <c r="P319" i="2"/>
  <c r="N319" i="2" s="1"/>
  <c r="P134" i="2"/>
  <c r="N134" i="2" s="1"/>
  <c r="P153" i="2"/>
  <c r="N153" i="2" s="1"/>
  <c r="P206" i="2"/>
  <c r="N206" i="2" s="1"/>
  <c r="P229" i="2"/>
  <c r="N229" i="2" s="1"/>
  <c r="P298" i="2"/>
  <c r="N298" i="2" s="1"/>
  <c r="P340" i="2"/>
  <c r="N340" i="2" s="1"/>
  <c r="P351" i="2"/>
  <c r="N351" i="2" s="1"/>
  <c r="P457" i="2"/>
  <c r="N457" i="2" s="1"/>
  <c r="P484" i="2"/>
  <c r="N484" i="2" s="1"/>
  <c r="P511" i="2"/>
  <c r="N511" i="2" s="1"/>
  <c r="P587" i="2"/>
  <c r="N587" i="2" s="1"/>
  <c r="P391" i="2"/>
  <c r="N391" i="2" s="1"/>
  <c r="P111" i="2"/>
  <c r="N111" i="2" s="1"/>
  <c r="P157" i="2"/>
  <c r="N157" i="2" s="1"/>
  <c r="P176" i="2"/>
  <c r="N176" i="2" s="1"/>
  <c r="P302" i="2"/>
  <c r="N302" i="2" s="1"/>
  <c r="P355" i="2"/>
  <c r="N355" i="2" s="1"/>
  <c r="P374" i="2"/>
  <c r="N374" i="2" s="1"/>
  <c r="P534" i="2"/>
  <c r="N534" i="2" s="1"/>
  <c r="P553" i="2"/>
  <c r="N553" i="2" s="1"/>
  <c r="P585" i="2"/>
  <c r="N585" i="2" s="1"/>
  <c r="P455" i="2"/>
  <c r="N455" i="2" s="1"/>
  <c r="P30" i="2"/>
  <c r="N30" i="2" s="1"/>
  <c r="P559" i="2"/>
  <c r="N559" i="2" s="1"/>
  <c r="P252" i="2"/>
  <c r="N252" i="2" s="1"/>
  <c r="P325" i="2"/>
  <c r="N325" i="2" s="1"/>
  <c r="P397" i="2"/>
  <c r="N397" i="2" s="1"/>
  <c r="P461" i="2"/>
  <c r="N461" i="2" s="1"/>
  <c r="P488" i="2"/>
  <c r="N488" i="2" s="1"/>
  <c r="P557" i="2"/>
  <c r="N557" i="2" s="1"/>
  <c r="P509" i="2"/>
  <c r="N509" i="2" s="1"/>
  <c r="P84" i="2"/>
  <c r="N84" i="2" s="1"/>
  <c r="P115" i="2"/>
  <c r="N115" i="2" s="1"/>
  <c r="P138" i="2"/>
  <c r="N138" i="2" s="1"/>
  <c r="P180" i="2"/>
  <c r="N180" i="2" s="1"/>
  <c r="P214" i="2"/>
  <c r="N214" i="2" s="1"/>
  <c r="P256" i="2"/>
  <c r="N256" i="2" s="1"/>
  <c r="P283" i="2"/>
  <c r="N283" i="2" s="1"/>
  <c r="P306" i="2"/>
  <c r="N306" i="2" s="1"/>
  <c r="P359" i="2"/>
  <c r="N359" i="2" s="1"/>
  <c r="P378" i="2"/>
  <c r="N378" i="2" s="1"/>
  <c r="P515" i="2"/>
  <c r="N515" i="2" s="1"/>
  <c r="P572" i="2"/>
  <c r="N572" i="2" s="1"/>
  <c r="P414" i="2"/>
  <c r="N414" i="2" s="1"/>
  <c r="P80" i="2"/>
  <c r="N80" i="2" s="1"/>
  <c r="P88" i="2"/>
  <c r="N88" i="2" s="1"/>
  <c r="P161" i="2"/>
  <c r="N161" i="2" s="1"/>
  <c r="P191" i="2"/>
  <c r="N191" i="2" s="1"/>
  <c r="P218" i="2"/>
  <c r="N218" i="2" s="1"/>
  <c r="P233" i="2"/>
  <c r="N233" i="2" s="1"/>
  <c r="P260" i="2"/>
  <c r="N260" i="2" s="1"/>
  <c r="P329" i="2"/>
  <c r="N329" i="2" s="1"/>
  <c r="P382" i="2"/>
  <c r="N382" i="2" s="1"/>
  <c r="P442" i="2"/>
  <c r="N442" i="2" s="1"/>
  <c r="P465" i="2"/>
  <c r="N465" i="2" s="1"/>
  <c r="P469" i="2"/>
  <c r="N469" i="2" s="1"/>
  <c r="P492" i="2"/>
  <c r="N492" i="2" s="1"/>
  <c r="P519" i="2"/>
  <c r="N519" i="2" s="1"/>
  <c r="P523" i="2"/>
  <c r="N523" i="2" s="1"/>
  <c r="P538" i="2"/>
  <c r="N538" i="2" s="1"/>
  <c r="P561" i="2"/>
  <c r="N561" i="2" s="1"/>
  <c r="P147" i="2"/>
  <c r="N147" i="2" s="1"/>
  <c r="P32" i="2"/>
  <c r="N32" i="2" s="1"/>
  <c r="P40" i="2"/>
  <c r="N40" i="2" s="1"/>
  <c r="P92" i="2"/>
  <c r="N92" i="2" s="1"/>
  <c r="P119" i="2"/>
  <c r="N119" i="2" s="1"/>
  <c r="P123" i="2"/>
  <c r="N123" i="2" s="1"/>
  <c r="P195" i="2"/>
  <c r="N195" i="2" s="1"/>
  <c r="P199" i="2"/>
  <c r="N199" i="2" s="1"/>
  <c r="P264" i="2"/>
  <c r="N264" i="2" s="1"/>
  <c r="P268" i="2"/>
  <c r="N268" i="2" s="1"/>
  <c r="P310" i="2"/>
  <c r="N310" i="2" s="1"/>
  <c r="P386" i="2"/>
  <c r="N386" i="2" s="1"/>
  <c r="P405" i="2"/>
  <c r="N405" i="2" s="1"/>
  <c r="P427" i="2"/>
  <c r="N427" i="2" s="1"/>
  <c r="P446" i="2"/>
  <c r="N446" i="2" s="1"/>
  <c r="P473" i="2"/>
  <c r="N473" i="2" s="1"/>
  <c r="P496" i="2"/>
  <c r="N496" i="2" s="1"/>
  <c r="P542" i="2"/>
  <c r="N542" i="2" s="1"/>
  <c r="P576" i="2"/>
  <c r="N576" i="2" s="1"/>
  <c r="P581" i="2"/>
  <c r="N581" i="2" s="1"/>
  <c r="P132" i="2"/>
  <c r="N132" i="2" s="1"/>
  <c r="P436" i="2"/>
  <c r="N436" i="2" s="1"/>
  <c r="P36" i="2"/>
  <c r="N36" i="2" s="1"/>
  <c r="P68" i="2"/>
  <c r="N68" i="2" s="1"/>
  <c r="P76" i="2"/>
  <c r="N76" i="2" s="1"/>
  <c r="P96" i="2"/>
  <c r="N96" i="2" s="1"/>
  <c r="P100" i="2"/>
  <c r="N100" i="2" s="1"/>
  <c r="P142" i="2"/>
  <c r="N142" i="2" s="1"/>
  <c r="P146" i="2"/>
  <c r="N146" i="2" s="1"/>
  <c r="P165" i="2"/>
  <c r="N165" i="2" s="1"/>
  <c r="P222" i="2"/>
  <c r="N222" i="2" s="1"/>
  <c r="P237" i="2"/>
  <c r="N237" i="2" s="1"/>
  <c r="P272" i="2"/>
  <c r="N272" i="2" s="1"/>
  <c r="P333" i="2"/>
  <c r="N333" i="2" s="1"/>
  <c r="P431" i="2"/>
  <c r="N431" i="2" s="1"/>
  <c r="P477" i="2"/>
  <c r="N477" i="2" s="1"/>
  <c r="P565" i="2"/>
  <c r="N565" i="2" s="1"/>
  <c r="P250" i="2"/>
  <c r="N250" i="2" s="1"/>
  <c r="P44" i="2"/>
  <c r="N44" i="2" s="1"/>
  <c r="P72" i="2"/>
  <c r="N72" i="2" s="1"/>
  <c r="P127" i="2"/>
  <c r="N127" i="2" s="1"/>
  <c r="P241" i="2"/>
  <c r="N241" i="2" s="1"/>
  <c r="P291" i="2"/>
  <c r="N291" i="2" s="1"/>
  <c r="P367" i="2"/>
  <c r="N367" i="2" s="1"/>
  <c r="P390" i="2"/>
  <c r="N390" i="2" s="1"/>
  <c r="P409" i="2"/>
  <c r="N409" i="2" s="1"/>
  <c r="P450" i="2"/>
  <c r="N450" i="2" s="1"/>
  <c r="P527" i="2"/>
  <c r="N527" i="2" s="1"/>
  <c r="P546" i="2"/>
  <c r="N546" i="2" s="1"/>
  <c r="P580" i="2"/>
  <c r="N580" i="2" s="1"/>
  <c r="P56" i="2"/>
  <c r="N56" i="2" s="1"/>
  <c r="P60" i="2"/>
  <c r="N60" i="2" s="1"/>
  <c r="P64" i="2"/>
  <c r="N64" i="2" s="1"/>
  <c r="P104" i="2"/>
  <c r="N104" i="2" s="1"/>
  <c r="P150" i="2"/>
  <c r="N150" i="2" s="1"/>
  <c r="P169" i="2"/>
  <c r="N169" i="2" s="1"/>
  <c r="P203" i="2"/>
  <c r="N203" i="2" s="1"/>
  <c r="P226" i="2"/>
  <c r="N226" i="2" s="1"/>
  <c r="P245" i="2"/>
  <c r="N245" i="2" s="1"/>
  <c r="P276" i="2"/>
  <c r="N276" i="2" s="1"/>
  <c r="P314" i="2"/>
  <c r="N314" i="2" s="1"/>
  <c r="P500" i="2"/>
  <c r="N500" i="2" s="1"/>
  <c r="P504" i="2"/>
  <c r="N504" i="2" s="1"/>
  <c r="P584" i="2"/>
  <c r="N584" i="2" s="1"/>
  <c r="P48" i="2"/>
  <c r="N48" i="2" s="1"/>
  <c r="P131" i="2"/>
  <c r="N131" i="2" s="1"/>
  <c r="P249" i="2"/>
  <c r="N249" i="2" s="1"/>
  <c r="P295" i="2"/>
  <c r="N295" i="2" s="1"/>
  <c r="P318" i="2"/>
  <c r="N318" i="2" s="1"/>
  <c r="P371" i="2"/>
  <c r="N371" i="2" s="1"/>
  <c r="P435" i="2"/>
  <c r="N435" i="2" s="1"/>
  <c r="P531" i="2"/>
  <c r="N531" i="2" s="1"/>
  <c r="P550" i="2"/>
  <c r="N550" i="2" s="1"/>
  <c r="P86" i="2"/>
  <c r="N86" i="2" s="1"/>
  <c r="P108" i="2"/>
  <c r="N108" i="2" s="1"/>
  <c r="P154" i="2"/>
  <c r="N154" i="2" s="1"/>
  <c r="P173" i="2"/>
  <c r="N173" i="2" s="1"/>
  <c r="P207" i="2"/>
  <c r="N207" i="2" s="1"/>
  <c r="P299" i="2"/>
  <c r="N299" i="2" s="1"/>
  <c r="P341" i="2"/>
  <c r="N341" i="2" s="1"/>
  <c r="P352" i="2"/>
  <c r="N352" i="2" s="1"/>
  <c r="P413" i="2"/>
  <c r="N413" i="2" s="1"/>
  <c r="P458" i="2"/>
  <c r="N458" i="2" s="1"/>
  <c r="P569" i="2"/>
  <c r="N569" i="2" s="1"/>
  <c r="P588" i="2"/>
  <c r="N588" i="2" s="1"/>
  <c r="P135" i="2"/>
  <c r="N135" i="2" s="1"/>
  <c r="P177" i="2"/>
  <c r="N177" i="2" s="1"/>
  <c r="P188" i="2"/>
  <c r="N188" i="2" s="1"/>
  <c r="P211" i="2"/>
  <c r="N211" i="2" s="1"/>
  <c r="P280" i="2"/>
  <c r="N280" i="2" s="1"/>
  <c r="P303" i="2"/>
  <c r="N303" i="2" s="1"/>
  <c r="P322" i="2"/>
  <c r="N322" i="2" s="1"/>
  <c r="P485" i="2"/>
  <c r="N485" i="2" s="1"/>
  <c r="P512" i="2"/>
  <c r="N512" i="2" s="1"/>
  <c r="P554" i="2"/>
  <c r="N554" i="2" s="1"/>
  <c r="F22" i="37"/>
  <c r="P574" i="2"/>
  <c r="N574" i="2" s="1"/>
  <c r="P112" i="2"/>
  <c r="N112" i="2" s="1"/>
  <c r="P253" i="2"/>
  <c r="N253" i="2" s="1"/>
  <c r="P326" i="2"/>
  <c r="N326" i="2" s="1"/>
  <c r="P356" i="2"/>
  <c r="N356" i="2" s="1"/>
  <c r="P489" i="2"/>
  <c r="N489" i="2" s="1"/>
  <c r="P535" i="2"/>
  <c r="N535" i="2" s="1"/>
  <c r="P558" i="2"/>
  <c r="N558" i="2" s="1"/>
  <c r="P528" i="2"/>
  <c r="N528" i="2" s="1"/>
  <c r="P85" i="2"/>
  <c r="N85" i="2" s="1"/>
  <c r="P116" i="2"/>
  <c r="N116" i="2" s="1"/>
  <c r="P215" i="2"/>
  <c r="N215" i="2" s="1"/>
  <c r="P257" i="2"/>
  <c r="N257" i="2" s="1"/>
  <c r="P284" i="2"/>
  <c r="N284" i="2" s="1"/>
  <c r="P360" i="2"/>
  <c r="N360" i="2" s="1"/>
  <c r="P424" i="2"/>
  <c r="N424" i="2" s="1"/>
  <c r="P439" i="2"/>
  <c r="N439" i="2" s="1"/>
  <c r="P462" i="2"/>
  <c r="N462" i="2" s="1"/>
  <c r="P516" i="2"/>
  <c r="N516" i="2" s="1"/>
  <c r="P573" i="2"/>
  <c r="N573" i="2" s="1"/>
  <c r="P81" i="2"/>
  <c r="N81" i="2" s="1"/>
  <c r="P89" i="2"/>
  <c r="N89" i="2" s="1"/>
  <c r="P181" i="2"/>
  <c r="N181" i="2" s="1"/>
  <c r="P192" i="2"/>
  <c r="N192" i="2" s="1"/>
  <c r="P234" i="2"/>
  <c r="N234" i="2" s="1"/>
  <c r="P261" i="2"/>
  <c r="N261" i="2" s="1"/>
  <c r="P307" i="2"/>
  <c r="N307" i="2" s="1"/>
  <c r="P379" i="2"/>
  <c r="N379" i="2" s="1"/>
  <c r="P383" i="2"/>
  <c r="N383" i="2" s="1"/>
  <c r="P443" i="2"/>
  <c r="N443" i="2" s="1"/>
  <c r="P466" i="2"/>
  <c r="N466" i="2" s="1"/>
  <c r="P470" i="2"/>
  <c r="N470" i="2" s="1"/>
  <c r="P493" i="2"/>
  <c r="N493" i="2" s="1"/>
  <c r="P520" i="2"/>
  <c r="N520" i="2" s="1"/>
  <c r="P539" i="2"/>
  <c r="N539" i="2" s="1"/>
  <c r="P562" i="2"/>
  <c r="N562" i="2" s="1"/>
  <c r="P101" i="2"/>
  <c r="N101" i="2" s="1"/>
  <c r="P37" i="2"/>
  <c r="N37" i="2" s="1"/>
  <c r="P41" i="2"/>
  <c r="N41" i="2" s="1"/>
  <c r="P77" i="2"/>
  <c r="N77" i="2" s="1"/>
  <c r="P93" i="2"/>
  <c r="N93" i="2" s="1"/>
  <c r="P120" i="2"/>
  <c r="N120" i="2" s="1"/>
  <c r="P162" i="2"/>
  <c r="N162" i="2" s="1"/>
  <c r="P196" i="2"/>
  <c r="N196" i="2" s="1"/>
  <c r="P200" i="2"/>
  <c r="N200" i="2" s="1"/>
  <c r="P265" i="2"/>
  <c r="N265" i="2" s="1"/>
  <c r="P269" i="2"/>
  <c r="N269" i="2" s="1"/>
  <c r="P330" i="2"/>
  <c r="N330" i="2" s="1"/>
  <c r="P402" i="2"/>
  <c r="N402" i="2" s="1"/>
  <c r="P474" i="2"/>
  <c r="N474" i="2" s="1"/>
  <c r="P543" i="2"/>
  <c r="N543" i="2" s="1"/>
  <c r="P577" i="2"/>
  <c r="N577" i="2" s="1"/>
  <c r="P361" i="2"/>
  <c r="N361" i="2" s="1"/>
  <c r="P33" i="2"/>
  <c r="N33" i="2" s="1"/>
  <c r="P97" i="2"/>
  <c r="N97" i="2" s="1"/>
  <c r="P124" i="2"/>
  <c r="N124" i="2" s="1"/>
  <c r="P143" i="2"/>
  <c r="N143" i="2" s="1"/>
  <c r="P166" i="2"/>
  <c r="N166" i="2" s="1"/>
  <c r="P223" i="2"/>
  <c r="N223" i="2" s="1"/>
  <c r="P238" i="2"/>
  <c r="N238" i="2" s="1"/>
  <c r="P273" i="2"/>
  <c r="N273" i="2" s="1"/>
  <c r="P288" i="2"/>
  <c r="N288" i="2" s="1"/>
  <c r="P311" i="2"/>
  <c r="N311" i="2" s="1"/>
  <c r="P334" i="2"/>
  <c r="N334" i="2" s="1"/>
  <c r="P387" i="2"/>
  <c r="N387" i="2" s="1"/>
  <c r="P428" i="2"/>
  <c r="N428" i="2" s="1"/>
  <c r="P447" i="2"/>
  <c r="N447" i="2" s="1"/>
  <c r="P478" i="2"/>
  <c r="N478" i="2" s="1"/>
  <c r="P566" i="2"/>
  <c r="N566" i="2" s="1"/>
  <c r="P242" i="2"/>
  <c r="N242" i="2" s="1"/>
  <c r="P155" i="2"/>
  <c r="N155" i="2" s="1"/>
  <c r="P482" i="2"/>
  <c r="N482" i="2" s="1"/>
  <c r="P159" i="2"/>
  <c r="N159" i="2" s="1"/>
  <c r="P45" i="2"/>
  <c r="N45" i="2" s="1"/>
  <c r="P57" i="2"/>
  <c r="N57" i="2" s="1"/>
  <c r="P128" i="2"/>
  <c r="N128" i="2" s="1"/>
  <c r="P151" i="2"/>
  <c r="N151" i="2" s="1"/>
  <c r="P170" i="2"/>
  <c r="N170" i="2" s="1"/>
  <c r="P185" i="2"/>
  <c r="N185" i="2" s="1"/>
  <c r="P204" i="2"/>
  <c r="N204" i="2" s="1"/>
  <c r="P246" i="2"/>
  <c r="N246" i="2" s="1"/>
  <c r="P277" i="2"/>
  <c r="N277" i="2" s="1"/>
  <c r="P292" i="2"/>
  <c r="N292" i="2" s="1"/>
  <c r="P315" i="2"/>
  <c r="N315" i="2" s="1"/>
  <c r="P338" i="2"/>
  <c r="N338" i="2" s="1"/>
  <c r="P368" i="2"/>
  <c r="N368" i="2" s="1"/>
  <c r="P451" i="2"/>
  <c r="N451" i="2" s="1"/>
  <c r="P501" i="2"/>
  <c r="N501" i="2" s="1"/>
  <c r="P505" i="2"/>
  <c r="N505" i="2" s="1"/>
  <c r="P49" i="2"/>
  <c r="N49" i="2" s="1"/>
  <c r="P105" i="2"/>
  <c r="N105" i="2" s="1"/>
  <c r="P296" i="2"/>
  <c r="N296" i="2" s="1"/>
  <c r="P532" i="2"/>
  <c r="N532" i="2" s="1"/>
  <c r="P551" i="2"/>
  <c r="N551" i="2" s="1"/>
  <c r="P372" i="2"/>
  <c r="N372" i="2" s="1"/>
  <c r="P113" i="2"/>
  <c r="N113" i="2" s="1"/>
  <c r="P78" i="2"/>
  <c r="N78" i="2" s="1"/>
  <c r="P82" i="2"/>
  <c r="N82" i="2" s="1"/>
  <c r="P90" i="2"/>
  <c r="N90" i="2" s="1"/>
  <c r="P216" i="2"/>
  <c r="N216" i="2" s="1"/>
  <c r="P258" i="2"/>
  <c r="N258" i="2" s="1"/>
  <c r="P262" i="2"/>
  <c r="N262" i="2" s="1"/>
  <c r="P285" i="2"/>
  <c r="N285" i="2" s="1"/>
  <c r="P380" i="2"/>
  <c r="N380" i="2" s="1"/>
  <c r="P399" i="2"/>
  <c r="N399" i="2" s="1"/>
  <c r="P425" i="2"/>
  <c r="N425" i="2" s="1"/>
  <c r="P467" i="2"/>
  <c r="N467" i="2" s="1"/>
  <c r="P471" i="2"/>
  <c r="N471" i="2" s="1"/>
  <c r="P494" i="2"/>
  <c r="N494" i="2" s="1"/>
  <c r="P521" i="2"/>
  <c r="N521" i="2" s="1"/>
  <c r="P540" i="2"/>
  <c r="N540" i="2" s="1"/>
  <c r="P563" i="2"/>
  <c r="N563" i="2" s="1"/>
  <c r="P66" i="2"/>
  <c r="N66" i="2" s="1"/>
  <c r="P94" i="2"/>
  <c r="N94" i="2" s="1"/>
  <c r="P121" i="2"/>
  <c r="N121" i="2" s="1"/>
  <c r="P140" i="2"/>
  <c r="N140" i="2" s="1"/>
  <c r="P163" i="2"/>
  <c r="N163" i="2" s="1"/>
  <c r="P182" i="2"/>
  <c r="N182" i="2" s="1"/>
  <c r="P193" i="2"/>
  <c r="N193" i="2" s="1"/>
  <c r="P197" i="2"/>
  <c r="N197" i="2" s="1"/>
  <c r="P220" i="2"/>
  <c r="N220" i="2" s="1"/>
  <c r="P235" i="2"/>
  <c r="N235" i="2" s="1"/>
  <c r="P266" i="2"/>
  <c r="N266" i="2" s="1"/>
  <c r="P308" i="2"/>
  <c r="N308" i="2" s="1"/>
  <c r="P384" i="2"/>
  <c r="N384" i="2" s="1"/>
  <c r="P403" i="2"/>
  <c r="N403" i="2" s="1"/>
  <c r="P444" i="2"/>
  <c r="N444" i="2" s="1"/>
  <c r="P475" i="2"/>
  <c r="N475" i="2" s="1"/>
  <c r="P117" i="2"/>
  <c r="N117" i="2" s="1"/>
  <c r="P34" i="2"/>
  <c r="N34" i="2" s="1"/>
  <c r="P38" i="2"/>
  <c r="N38" i="2" s="1"/>
  <c r="P42" i="2"/>
  <c r="N42" i="2" s="1"/>
  <c r="P98" i="2"/>
  <c r="N98" i="2" s="1"/>
  <c r="P125" i="2"/>
  <c r="N125" i="2" s="1"/>
  <c r="P144" i="2"/>
  <c r="N144" i="2" s="1"/>
  <c r="P224" i="2"/>
  <c r="N224" i="2" s="1"/>
  <c r="P239" i="2"/>
  <c r="N239" i="2" s="1"/>
  <c r="P270" i="2"/>
  <c r="N270" i="2" s="1"/>
  <c r="P289" i="2"/>
  <c r="N289" i="2" s="1"/>
  <c r="P312" i="2"/>
  <c r="N312" i="2" s="1"/>
  <c r="P331" i="2"/>
  <c r="N331" i="2" s="1"/>
  <c r="P335" i="2"/>
  <c r="N335" i="2" s="1"/>
  <c r="P388" i="2"/>
  <c r="N388" i="2" s="1"/>
  <c r="P429" i="2"/>
  <c r="N429" i="2" s="1"/>
  <c r="P448" i="2"/>
  <c r="N448" i="2" s="1"/>
  <c r="P525" i="2"/>
  <c r="N525" i="2" s="1"/>
  <c r="P544" i="2"/>
  <c r="N544" i="2" s="1"/>
  <c r="P578" i="2"/>
  <c r="N578" i="2" s="1"/>
  <c r="P513" i="2"/>
  <c r="N513" i="2" s="1"/>
  <c r="P376" i="2"/>
  <c r="N376" i="2" s="1"/>
  <c r="P54" i="2"/>
  <c r="N54" i="2" s="1"/>
  <c r="P70" i="2"/>
  <c r="N70" i="2" s="1"/>
  <c r="P74" i="2"/>
  <c r="N74" i="2" s="1"/>
  <c r="P102" i="2"/>
  <c r="N102" i="2" s="1"/>
  <c r="P148" i="2"/>
  <c r="N148" i="2" s="1"/>
  <c r="P167" i="2"/>
  <c r="N167" i="2" s="1"/>
  <c r="P243" i="2"/>
  <c r="N243" i="2" s="1"/>
  <c r="P365" i="2"/>
  <c r="N365" i="2" s="1"/>
  <c r="P407" i="2"/>
  <c r="N407" i="2" s="1"/>
  <c r="P27" i="2"/>
  <c r="N27" i="2" s="1"/>
  <c r="P28" i="2"/>
  <c r="N28" i="2" s="1"/>
  <c r="P11" i="2"/>
  <c r="P19" i="2"/>
  <c r="P10" i="2"/>
  <c r="P12" i="2"/>
  <c r="P20" i="2"/>
  <c r="P13" i="2"/>
  <c r="P21" i="2"/>
  <c r="P14" i="2"/>
  <c r="P22" i="2"/>
  <c r="P15" i="2"/>
  <c r="P23" i="2"/>
  <c r="P16" i="2"/>
  <c r="P24" i="2"/>
  <c r="P17" i="2"/>
  <c r="P25" i="2"/>
  <c r="P18" i="2"/>
  <c r="P26" i="2"/>
  <c r="D17" i="37"/>
  <c r="B16" i="37"/>
  <c r="E17" i="37"/>
  <c r="B17" i="37"/>
  <c r="B18" i="37"/>
  <c r="E16" i="37"/>
  <c r="G22" i="37"/>
  <c r="D22" i="37"/>
  <c r="E22" i="37"/>
  <c r="D16" i="37"/>
  <c r="D18" i="37"/>
  <c r="E18" i="37"/>
  <c r="E13" i="37"/>
  <c r="E15" i="37"/>
  <c r="E14" i="37"/>
  <c r="D13" i="37"/>
  <c r="D14" i="37"/>
  <c r="D15"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K20" i="37" l="1"/>
  <c r="I20" i="37"/>
  <c r="N15" i="2"/>
  <c r="N17" i="2"/>
  <c r="N20" i="2"/>
  <c r="N19" i="2"/>
  <c r="N26" i="2"/>
  <c r="N21" i="2"/>
  <c r="N22" i="2"/>
  <c r="N18" i="2"/>
  <c r="N14" i="2"/>
  <c r="N12" i="2"/>
  <c r="N16" i="2"/>
  <c r="N24" i="2"/>
  <c r="N23" i="2"/>
  <c r="N11" i="2"/>
  <c r="N25" i="2"/>
  <c r="N13" i="2"/>
  <c r="N10" i="2"/>
  <c r="J22" i="37"/>
  <c r="H22" i="37"/>
  <c r="K22" i="37"/>
  <c r="I22" i="37"/>
  <c r="I18" i="37"/>
  <c r="K18" i="37"/>
  <c r="K17" i="37"/>
  <c r="I17" i="37"/>
  <c r="I16" i="37"/>
  <c r="K16"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H20" i="37" l="1"/>
  <c r="H16" i="37"/>
  <c r="J17" i="37"/>
  <c r="H18" i="37"/>
  <c r="J16" i="37"/>
  <c r="J20" i="37"/>
  <c r="H17" i="37"/>
  <c r="J18" i="37"/>
  <c r="F13" i="37"/>
  <c r="F23" i="37" l="1"/>
  <c r="H19" i="37"/>
  <c r="J19" i="37"/>
  <c r="H21" i="37"/>
  <c r="J21" i="37"/>
  <c r="C16" i="17" l="1"/>
  <c r="N35" i="18" l="1"/>
  <c r="M35" i="18"/>
  <c r="L35" i="18"/>
  <c r="K35" i="18"/>
  <c r="J35" i="18"/>
  <c r="I35" i="18"/>
  <c r="N33" i="38"/>
  <c r="M33" i="38"/>
  <c r="L33" i="38"/>
  <c r="K33" i="38"/>
  <c r="J33" i="38"/>
  <c r="J34" i="38" l="1"/>
  <c r="I34" i="38"/>
  <c r="M34" i="38"/>
  <c r="L34" i="38"/>
  <c r="I43" i="18"/>
  <c r="N43" i="18"/>
  <c r="M43" i="18"/>
  <c r="I26" i="28"/>
  <c r="I11" i="28"/>
  <c r="I12" i="28"/>
  <c r="I13" i="28"/>
  <c r="I14" i="28"/>
  <c r="I15" i="28"/>
  <c r="I16" i="28"/>
  <c r="I17" i="28"/>
  <c r="I18" i="28"/>
  <c r="I21" i="28"/>
  <c r="I22" i="28"/>
  <c r="I23" i="28"/>
  <c r="I24" i="28"/>
  <c r="I25" i="28"/>
  <c r="I10" i="28"/>
  <c r="N25" i="38"/>
  <c r="M25" i="38"/>
  <c r="L25" i="38"/>
  <c r="K25" i="38"/>
  <c r="J25" i="38"/>
  <c r="I25" i="38"/>
  <c r="B4" i="38"/>
  <c r="D12" i="35"/>
  <c r="E12" i="35" s="1"/>
  <c r="D13" i="35"/>
  <c r="E13" i="35" s="1"/>
  <c r="D14" i="35"/>
  <c r="E14" i="35" s="1"/>
  <c r="D15" i="35"/>
  <c r="E15" i="35" s="1"/>
  <c r="D16" i="35"/>
  <c r="E16" i="35" s="1"/>
  <c r="D17" i="35"/>
  <c r="E17" i="35" s="1"/>
  <c r="D18" i="35"/>
  <c r="E18" i="35" s="1"/>
  <c r="D19" i="35"/>
  <c r="E19" i="35" s="1"/>
  <c r="D20" i="35"/>
  <c r="E20" i="35" s="1"/>
  <c r="D11" i="35"/>
  <c r="E11" i="35" s="1"/>
  <c r="Q8" i="2"/>
  <c r="B4" i="5"/>
  <c r="B4" i="31"/>
  <c r="C41" i="35"/>
  <c r="N31" i="18"/>
  <c r="M31" i="18"/>
  <c r="L31" i="18"/>
  <c r="K31" i="18"/>
  <c r="J31" i="18"/>
  <c r="I31" i="18"/>
  <c r="B4" i="28"/>
  <c r="C4" i="2"/>
  <c r="B4" i="18"/>
  <c r="B4" i="17"/>
  <c r="B41" i="17"/>
  <c r="B47" i="17" s="1"/>
  <c r="B51" i="17" s="1"/>
  <c r="B52" i="17"/>
  <c r="Q51" i="2" l="1"/>
  <c r="O51" i="2" s="1"/>
  <c r="Q30" i="2"/>
  <c r="O30" i="2" s="1"/>
  <c r="Q64" i="2"/>
  <c r="O64" i="2" s="1"/>
  <c r="Q77" i="2"/>
  <c r="O77" i="2" s="1"/>
  <c r="Q36" i="2"/>
  <c r="O36" i="2" s="1"/>
  <c r="Q75" i="2"/>
  <c r="O75" i="2" s="1"/>
  <c r="Q66" i="2"/>
  <c r="O66" i="2" s="1"/>
  <c r="Q72" i="2"/>
  <c r="O72" i="2" s="1"/>
  <c r="Q65" i="2"/>
  <c r="O65" i="2" s="1"/>
  <c r="Q50" i="2"/>
  <c r="O50" i="2" s="1"/>
  <c r="Q84" i="2"/>
  <c r="O84" i="2" s="1"/>
  <c r="Q40" i="2"/>
  <c r="O40" i="2" s="1"/>
  <c r="Q26" i="2"/>
  <c r="O26" i="2" s="1"/>
  <c r="Q21" i="2"/>
  <c r="O21" i="2" s="1"/>
  <c r="Q24" i="2"/>
  <c r="O24" i="2" s="1"/>
  <c r="Q25" i="2"/>
  <c r="O25" i="2" s="1"/>
  <c r="Q22" i="2"/>
  <c r="O22" i="2" s="1"/>
  <c r="Q14" i="2"/>
  <c r="O14" i="2" s="1"/>
  <c r="B14" i="37"/>
  <c r="B13" i="37"/>
  <c r="B15" i="37"/>
  <c r="Q23" i="2"/>
  <c r="O23" i="2" s="1"/>
  <c r="Q16" i="2"/>
  <c r="O16" i="2" s="1"/>
  <c r="Q19" i="2"/>
  <c r="O19" i="2" s="1"/>
  <c r="Q18" i="2"/>
  <c r="O18" i="2" s="1"/>
  <c r="Q17" i="2"/>
  <c r="O17" i="2" s="1"/>
  <c r="Q20" i="2"/>
  <c r="O20" i="2" s="1"/>
  <c r="Q15" i="2"/>
  <c r="O15" i="2" s="1"/>
  <c r="G19" i="35"/>
  <c r="G18" i="35"/>
  <c r="G17" i="35"/>
  <c r="G16" i="35"/>
  <c r="G15" i="35"/>
  <c r="G20" i="35"/>
  <c r="G14" i="35"/>
  <c r="Q13" i="37" s="1"/>
  <c r="G11" i="35"/>
  <c r="G13" i="35"/>
  <c r="G12" i="35"/>
  <c r="O31" i="18"/>
  <c r="F16" i="31"/>
  <c r="B49" i="17"/>
  <c r="B50" i="17"/>
  <c r="I28" i="28"/>
  <c r="O25" i="38"/>
  <c r="K34" i="38"/>
  <c r="J43" i="18"/>
  <c r="N34" i="38"/>
  <c r="L43" i="18"/>
  <c r="K43" i="18"/>
  <c r="Q10" i="2"/>
  <c r="Q13" i="2"/>
  <c r="O13" i="2" s="1"/>
  <c r="Q11" i="2"/>
  <c r="O11" i="2" s="1"/>
  <c r="Q19" i="37" l="1"/>
  <c r="Q14" i="37"/>
  <c r="Q23" i="37" s="1"/>
  <c r="O10" i="2"/>
  <c r="B23" i="37"/>
  <c r="E12" i="18"/>
  <c r="E15" i="18" s="1"/>
  <c r="G41" i="35"/>
  <c r="B53" i="17"/>
  <c r="E12" i="38"/>
  <c r="E15" i="38" s="1"/>
  <c r="Q12" i="2"/>
  <c r="O12" i="2" s="1"/>
  <c r="G13" i="37" l="1"/>
  <c r="E17" i="38"/>
  <c r="K49" i="38" s="1"/>
  <c r="K48" i="38"/>
  <c r="H14" i="37"/>
  <c r="J13" i="37"/>
  <c r="J14" i="37"/>
  <c r="E18" i="18"/>
  <c r="K50" i="18" s="1"/>
  <c r="K48" i="18"/>
  <c r="H13" i="37"/>
  <c r="H15" i="37"/>
  <c r="J15" i="37"/>
  <c r="E18" i="38"/>
  <c r="E17" i="18"/>
  <c r="I19" i="37" l="1"/>
  <c r="K19" i="37"/>
  <c r="I21" i="37"/>
  <c r="K21" i="37"/>
  <c r="G6" i="28"/>
  <c r="J23" i="37"/>
  <c r="E19" i="38"/>
  <c r="E21" i="38" s="1"/>
  <c r="K50" i="38"/>
  <c r="I14" i="37"/>
  <c r="I15" i="37"/>
  <c r="K13" i="37"/>
  <c r="K14" i="37"/>
  <c r="H23" i="37"/>
  <c r="K15" i="37"/>
  <c r="E19" i="18"/>
  <c r="E21" i="18" s="1"/>
  <c r="C29" i="17" s="1"/>
  <c r="C31" i="17" s="1"/>
  <c r="C34" i="17" s="1"/>
  <c r="C21" i="17" s="1"/>
  <c r="C24" i="17" s="1"/>
  <c r="K49" i="18"/>
  <c r="I13" i="37"/>
  <c r="G23" i="37"/>
  <c r="K55" i="18" l="1"/>
  <c r="E22" i="38"/>
  <c r="E23" i="38" s="1"/>
  <c r="E25" i="38" s="1"/>
  <c r="I23" i="37"/>
  <c r="K23" i="37"/>
  <c r="E22" i="18"/>
  <c r="K51" i="38" l="1"/>
  <c r="E26" i="38"/>
  <c r="E32" i="38" s="1"/>
  <c r="E43" i="38" s="1"/>
  <c r="K64" i="38" s="1"/>
  <c r="K52" i="38"/>
  <c r="E23" i="18"/>
  <c r="E25" i="18" s="1"/>
  <c r="K51" i="18"/>
  <c r="K66" i="38" l="1"/>
  <c r="E26" i="18"/>
  <c r="E32" i="18" s="1"/>
  <c r="K52" i="18"/>
  <c r="E47" i="38"/>
  <c r="O22" i="37" l="1"/>
  <c r="N22" i="37"/>
  <c r="O16" i="37"/>
  <c r="O17" i="37"/>
  <c r="O18" i="37"/>
  <c r="O20" i="37"/>
  <c r="N20" i="37"/>
  <c r="N18" i="37"/>
  <c r="N16" i="37"/>
  <c r="N17" i="37"/>
  <c r="N21" i="37"/>
  <c r="N19" i="37"/>
  <c r="N15" i="37"/>
  <c r="N14" i="37"/>
  <c r="O15" i="37"/>
  <c r="O14" i="37"/>
  <c r="O21" i="37"/>
  <c r="O19" i="37"/>
  <c r="O13" i="37"/>
  <c r="N13" i="37"/>
  <c r="N23" i="37" s="1"/>
  <c r="F35" i="38"/>
  <c r="F36" i="38"/>
  <c r="F37" i="38"/>
  <c r="F38" i="38"/>
  <c r="F39" i="38"/>
  <c r="F40" i="38"/>
  <c r="F41" i="38"/>
  <c r="E49" i="38"/>
  <c r="K68" i="38" s="1"/>
  <c r="F34" i="38"/>
  <c r="E53" i="38"/>
  <c r="F19" i="38"/>
  <c r="F45" i="38"/>
  <c r="F26" i="38"/>
  <c r="E51" i="38"/>
  <c r="F23" i="38"/>
  <c r="F32" i="38"/>
  <c r="F43" i="38"/>
  <c r="E43" i="18"/>
  <c r="K64" i="18" s="1"/>
  <c r="K66" i="18" s="1"/>
  <c r="O23" i="37" l="1"/>
  <c r="K72" i="38"/>
  <c r="K70" i="38"/>
  <c r="F47" i="38"/>
  <c r="E47" i="18"/>
  <c r="L22" i="37" l="1"/>
  <c r="M16" i="37"/>
  <c r="M18" i="37"/>
  <c r="M20" i="37"/>
  <c r="M22" i="37"/>
  <c r="L18" i="37"/>
  <c r="R18" i="37" s="1"/>
  <c r="S18" i="37" s="1"/>
  <c r="M17" i="37"/>
  <c r="L16" i="37"/>
  <c r="L20" i="37"/>
  <c r="R20" i="37" s="1"/>
  <c r="S20" i="37" s="1"/>
  <c r="L17" i="37"/>
  <c r="L21" i="37"/>
  <c r="L19" i="37"/>
  <c r="L14" i="37"/>
  <c r="L15" i="37"/>
  <c r="M14" i="37"/>
  <c r="M19" i="37"/>
  <c r="M15" i="37"/>
  <c r="M21" i="37"/>
  <c r="L13" i="37"/>
  <c r="M13" i="37"/>
  <c r="E49" i="18"/>
  <c r="F35" i="18"/>
  <c r="F36" i="18"/>
  <c r="F37" i="18"/>
  <c r="F38" i="18"/>
  <c r="F39" i="18"/>
  <c r="F40" i="18"/>
  <c r="F41" i="18"/>
  <c r="F34" i="18"/>
  <c r="F42" i="18"/>
  <c r="E51" i="18"/>
  <c r="F45" i="18"/>
  <c r="F19" i="18"/>
  <c r="F23" i="18"/>
  <c r="F26" i="18"/>
  <c r="E53" i="18"/>
  <c r="F32" i="18"/>
  <c r="F43" i="18"/>
  <c r="R16" i="37" l="1"/>
  <c r="S16" i="37" s="1"/>
  <c r="R17" i="37"/>
  <c r="S17" i="37" s="1"/>
  <c r="R14" i="37"/>
  <c r="S14" i="37" s="1"/>
  <c r="R15" i="37"/>
  <c r="S15" i="37" s="1"/>
  <c r="R19" i="37"/>
  <c r="S19" i="37" s="1"/>
  <c r="R21" i="37"/>
  <c r="S21" i="37" s="1"/>
  <c r="M23" i="37"/>
  <c r="R22" i="37"/>
  <c r="S22" i="37" s="1"/>
  <c r="L23" i="37"/>
  <c r="K72" i="18"/>
  <c r="K70" i="18"/>
  <c r="K68" i="18"/>
  <c r="H11" i="31"/>
  <c r="F47" i="18"/>
  <c r="H12" i="31" l="1"/>
  <c r="R13" i="37"/>
  <c r="R23" i="37" s="1"/>
  <c r="N1" i="37" s="1"/>
  <c r="N2" i="37" l="1"/>
  <c r="N3" i="37" s="1"/>
  <c r="H16" i="31"/>
  <c r="P23" i="37"/>
  <c r="S13" i="37"/>
  <c r="S2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J8"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<sst xmlns="http://schemas.openxmlformats.org/spreadsheetml/2006/main" count="4215" uniqueCount="615">
  <si>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</si>
  <si>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</si>
  <si>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</si>
  <si>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</si>
  <si>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</si>
  <si>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</si>
  <si>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</si>
  <si>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</si>
  <si>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</si>
  <si>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</si>
  <si>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</si>
  <si>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</si>
  <si>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</si>
  <si>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</si>
  <si>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</si>
  <si>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</si>
  <si>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</si>
  <si>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</si>
  <si>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</si>
  <si>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</si>
  <si>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</si>
  <si>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</si>
  <si>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</si>
  <si>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</si>
  <si>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</si>
  <si>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</si>
  <si>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</si>
  <si>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</si>
  <si>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</si>
  <si>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</si>
  <si>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</si>
  <si>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</si>
  <si>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</si>
  <si>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</si>
  <si>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</si>
  <si>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</si>
  <si>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</si>
  <si>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</si>
  <si>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</si>
  <si>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</si>
  <si>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</si>
  <si>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</si>
  <si>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</si>
  <si>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</si>
  <si>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</si>
  <si>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</si>
  <si>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</si>
  <si>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</si>
  <si>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</si>
  <si>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</si>
  <si>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</si>
  <si>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</si>
  <si>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</si>
  <si>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</si>
  <si>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</si>
  <si>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</si>
  <si>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</si>
  <si>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</si>
  <si>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</si>
  <si>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</si>
  <si>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</si>
  <si>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</si>
  <si>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</si>
  <si>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</si>
  <si>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</si>
  <si>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</si>
  <si>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</si>
  <si>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</si>
  <si>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</si>
  <si>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</si>
  <si>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</si>
  <si>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</si>
  <si>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</si>
  <si>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</si>
  <si>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</si>
  <si>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</si>
  <si>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</si>
  <si>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</si>
  <si>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</si>
  <si>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</si>
  <si>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</si>
  <si>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</si>
  <si>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</si>
  <si>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</si>
  <si>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</si>
  <si>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</si>
  <si>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</si>
  <si>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</si>
  <si>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</si>
  <si>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</si>
  <si>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</si>
  <si>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Linoleum</t>
  </si>
  <si>
    <t>Tegels</t>
  </si>
  <si>
    <t>Beton</t>
  </si>
  <si>
    <t>Locatie</t>
  </si>
  <si>
    <t>frequentie per jaar</t>
  </si>
  <si>
    <t>Kosten per beurt</t>
  </si>
  <si>
    <t>Adres</t>
  </si>
  <si>
    <t>Frequentie van uitvoering (per jaar):</t>
  </si>
  <si>
    <t>VSR Code</t>
  </si>
  <si>
    <t>Freq</t>
  </si>
  <si>
    <t>Nio</t>
  </si>
  <si>
    <t>% van reguliere norm</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</si>
  <si>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</si>
  <si>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</si>
  <si>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</si>
  <si>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</si>
  <si>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</si>
  <si>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</si>
  <si>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</si>
  <si>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</si>
  <si>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</si>
  <si>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</si>
  <si>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</si>
  <si>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</si>
  <si>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</si>
  <si>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</si>
  <si>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</si>
  <si>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</si>
  <si>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</si>
  <si>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</si>
  <si>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</si>
  <si>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</si>
  <si>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</si>
  <si>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</si>
  <si>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</si>
  <si>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</si>
  <si>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</si>
  <si>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</si>
  <si>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</si>
  <si>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</si>
  <si>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</si>
  <si>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</si>
  <si>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</si>
  <si>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</si>
  <si>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</si>
  <si>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</si>
  <si>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</si>
  <si>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Totaalkosten per jaar</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</si>
  <si>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</si>
  <si>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</si>
  <si>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</si>
  <si>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</si>
  <si>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</si>
  <si>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</si>
  <si>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</si>
  <si>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</si>
  <si>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</si>
  <si>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</si>
  <si>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</si>
  <si>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</si>
  <si>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</si>
  <si>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Tijdstip van uitvoering</t>
  </si>
  <si>
    <t>tarief ma-vr (06.00-21.30 uur)</t>
  </si>
  <si>
    <t>tarief ma-vr nacht (21.30-06.00 uur)</t>
  </si>
  <si>
    <t>Gladheid bestrijding</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</si>
  <si>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</si>
  <si>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</si>
  <si>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</si>
  <si>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</si>
  <si>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</si>
  <si>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</si>
  <si>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</si>
  <si>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</si>
  <si>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</si>
  <si>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</si>
  <si>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</si>
  <si>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</si>
  <si>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</si>
  <si>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</si>
  <si>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</si>
  <si>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</si>
  <si>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r>
      <t>Kosten per m</t>
    </r>
    <r>
      <rPr>
        <b/>
        <vertAlign val="superscript"/>
        <sz val="10"/>
        <color theme="0"/>
        <rFont val="Century Gothic"/>
        <family val="2"/>
      </rPr>
      <t>2</t>
    </r>
  </si>
  <si>
    <t>Naam dienstverlener</t>
  </si>
  <si>
    <t>Let op -/- bedrag</t>
  </si>
  <si>
    <t>Bijzonderheden / opmerkingen</t>
  </si>
  <si>
    <t>Administratieve ruimten</t>
  </si>
  <si>
    <t>Pantry/keuken</t>
  </si>
  <si>
    <t>Gemiddeld tarief  ma t/m vr</t>
  </si>
  <si>
    <t>Tariefopbouw toezicht</t>
  </si>
  <si>
    <t>Tariefopbouw schoonmaak</t>
  </si>
  <si>
    <t>Gemiddeld tarief ma t/m vr</t>
  </si>
  <si>
    <t>ma t/m vr</t>
  </si>
  <si>
    <t>ma t/m vr naloop</t>
  </si>
  <si>
    <t>RAS premie</t>
  </si>
  <si>
    <t>Frequentie verklaring</t>
  </si>
  <si>
    <t>Totaal eindtarief  [incl. 30% toeslag]</t>
  </si>
  <si>
    <t>Referentie nummer</t>
  </si>
  <si>
    <t>Transitievergoeding</t>
  </si>
  <si>
    <t>Frequentie per jaar</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</si>
  <si>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</si>
  <si>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</si>
  <si>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</si>
  <si>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</si>
  <si>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</si>
  <si>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</si>
  <si>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</si>
  <si>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Algemeen</t>
  </si>
  <si>
    <t>Toezicht percentage</t>
  </si>
  <si>
    <t>per prod. Uur</t>
  </si>
  <si>
    <t>Hoogste frequentie ma t/m vr</t>
  </si>
  <si>
    <t>Hoogste frequentie ma t/m vr naloop</t>
  </si>
  <si>
    <t>Toezicht uren per jaar ma t/m vr naloop</t>
  </si>
  <si>
    <t>Totaal frequentie</t>
  </si>
  <si>
    <t>Locatie factor</t>
  </si>
  <si>
    <t>MAXIMALE BOVENGRENS PLAFONDBEDRAG INSCHRIJVINGSBEDRAG</t>
  </si>
  <si>
    <t>MAXIMALE ONDERGRENS INSCHRIJVINGSBEDRAG</t>
  </si>
  <si>
    <t>Tapijt</t>
  </si>
  <si>
    <t xml:space="preserve">Kosten toezicht per jaar ma t/m vr </t>
  </si>
  <si>
    <t>Kosten toezicht per jaar ma t/m vr naloop</t>
  </si>
  <si>
    <t>Naloop opslag ma-vr</t>
  </si>
  <si>
    <t>Uren minimale taakgrootte ma t/m vrij</t>
  </si>
  <si>
    <t>Uren minimale taakgrootte ma t/m vrij naloop</t>
  </si>
  <si>
    <t>Kosten productie per jaar ma t/m vr incl minimale taakgrootte</t>
  </si>
  <si>
    <t>Kosten productie per jaar ma t/m vr naloop incl minimale taakgrootte</t>
  </si>
  <si>
    <t>Lino-/marmoleum re-coaten</t>
  </si>
  <si>
    <t>Lino-/marmoleum top-coaten</t>
  </si>
  <si>
    <t>Trappenhuis</t>
  </si>
  <si>
    <t>Lift</t>
  </si>
  <si>
    <t>Tarief componenten samenvatting</t>
  </si>
  <si>
    <t>Versie</t>
  </si>
  <si>
    <t>Artikel</t>
  </si>
  <si>
    <t>nvt</t>
  </si>
  <si>
    <t>Den Haag</t>
  </si>
  <si>
    <t>Suppletiekosten toeslag</t>
  </si>
  <si>
    <t>linoleum</t>
  </si>
  <si>
    <t>Trappenhuizen</t>
  </si>
  <si>
    <t>tapijt</t>
  </si>
  <si>
    <t>beton</t>
  </si>
  <si>
    <t>hout</t>
  </si>
  <si>
    <t>Peuterspeelzaal</t>
  </si>
  <si>
    <t>Gemeenschappeliljke ruimten</t>
  </si>
  <si>
    <t>Gangen en hallen</t>
  </si>
  <si>
    <t>Leslokaal onderbouw</t>
  </si>
  <si>
    <t>steen</t>
  </si>
  <si>
    <t>Doucheruimten</t>
  </si>
  <si>
    <t>Gymzaal</t>
  </si>
  <si>
    <t>sportvloer</t>
  </si>
  <si>
    <t>Liften</t>
  </si>
  <si>
    <t>1e</t>
  </si>
  <si>
    <t>Leslokaal bovenbouw</t>
  </si>
  <si>
    <t>2e</t>
  </si>
  <si>
    <t>3e</t>
  </si>
  <si>
    <t>Administratie</t>
  </si>
  <si>
    <t>Speellokaal</t>
  </si>
  <si>
    <t>tegel</t>
  </si>
  <si>
    <t>leslokaal bovenbouw</t>
  </si>
  <si>
    <t>Entree/ontvangst</t>
  </si>
  <si>
    <t>Verkeersruimten</t>
  </si>
  <si>
    <t>Gemeenschappelijke ruimten</t>
  </si>
  <si>
    <t>mipolan</t>
  </si>
  <si>
    <t>Aanlegpunten</t>
  </si>
  <si>
    <t>Berging/opslag</t>
  </si>
  <si>
    <t>betoncoating</t>
  </si>
  <si>
    <t>011p</t>
  </si>
  <si>
    <t>Trap</t>
  </si>
  <si>
    <t>Kantoor</t>
  </si>
  <si>
    <t>Toiletten</t>
  </si>
  <si>
    <t>001p</t>
  </si>
  <si>
    <t>003p</t>
  </si>
  <si>
    <t>004p</t>
  </si>
  <si>
    <t>Teamkamer</t>
  </si>
  <si>
    <t>Keuken</t>
  </si>
  <si>
    <t>Werkkast</t>
  </si>
  <si>
    <t>pvc</t>
  </si>
  <si>
    <t>Berging</t>
  </si>
  <si>
    <t>028a</t>
  </si>
  <si>
    <t>Pantry</t>
  </si>
  <si>
    <t>Gang</t>
  </si>
  <si>
    <t>1.01</t>
  </si>
  <si>
    <t>1.02</t>
  </si>
  <si>
    <t>002p</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</si>
  <si>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</si>
  <si>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</si>
  <si>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</si>
  <si>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</si>
  <si>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</si>
  <si>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</si>
  <si>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</si>
  <si>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</si>
  <si>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</si>
  <si>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</si>
  <si>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</si>
  <si>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</si>
  <si>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</si>
  <si>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</si>
  <si>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</si>
  <si>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</si>
  <si>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</si>
  <si>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</si>
  <si>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</si>
  <si>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</si>
  <si>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</si>
  <si>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</si>
  <si>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</si>
  <si>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1.27</t>
  </si>
  <si>
    <t>1.29</t>
  </si>
  <si>
    <t>1.30</t>
  </si>
  <si>
    <t>1.33</t>
  </si>
  <si>
    <t>BSO</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</si>
  <si>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</si>
  <si>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</si>
  <si>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</si>
  <si>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</si>
  <si>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</si>
  <si>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</si>
  <si>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</si>
  <si>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</si>
  <si>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</si>
  <si>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</si>
  <si>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</si>
  <si>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</si>
  <si>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</si>
  <si>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</si>
  <si>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</si>
  <si>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</si>
  <si>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</si>
  <si>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</si>
  <si>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</si>
  <si>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</si>
  <si>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</si>
  <si>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</si>
  <si>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</si>
  <si>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</si>
  <si>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</si>
  <si>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</si>
  <si>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</si>
  <si>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</si>
  <si>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</si>
  <si>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</si>
  <si>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</si>
  <si>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</si>
  <si>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</si>
  <si>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0.40</t>
  </si>
  <si>
    <t>0.41</t>
  </si>
  <si>
    <t>0.43</t>
  </si>
  <si>
    <t>0.44</t>
  </si>
  <si>
    <t>0.45</t>
  </si>
  <si>
    <t>0.46</t>
  </si>
  <si>
    <t>0.47</t>
  </si>
  <si>
    <t>0.48</t>
  </si>
  <si>
    <t>0.49</t>
  </si>
  <si>
    <t>0.50</t>
  </si>
  <si>
    <t>0.51</t>
  </si>
  <si>
    <t>0.52</t>
  </si>
  <si>
    <t>1.26</t>
  </si>
  <si>
    <t>PVC</t>
  </si>
  <si>
    <t>Opslag</t>
  </si>
  <si>
    <t>nio</t>
  </si>
  <si>
    <t>L</t>
  </si>
  <si>
    <t>5 x per week (40 weken)</t>
  </si>
  <si>
    <t>4 x per week (40 weken)</t>
  </si>
  <si>
    <t>5 x per week (51 weken)</t>
  </si>
  <si>
    <t>2 x per week (40 weken)</t>
  </si>
  <si>
    <t>3 x per week (40 weken)</t>
  </si>
  <si>
    <t>Dakramen dubbelzijdig</t>
  </si>
  <si>
    <t>2</t>
  </si>
  <si>
    <t>art. 41.213 papierenhanddoek ZZ-VRC (Gelecon)</t>
  </si>
  <si>
    <t>art. 42049 Toiletpapier mini jumbo rec. Tissue (Gelecon)</t>
  </si>
  <si>
    <t>art. 18183 wc papier tissue 2 laags</t>
  </si>
  <si>
    <t>art. 25417 papierenhanddoekjes 2 laags</t>
  </si>
  <si>
    <t>art. 80569 Tork premium soap Mild mini</t>
  </si>
  <si>
    <t>art. 41.211 papieren handdoekjes</t>
  </si>
  <si>
    <t>art. 57.509 Microburst Floral Delight</t>
  </si>
  <si>
    <t>art. 57.012 Tork Premium soap</t>
  </si>
  <si>
    <t>Merk</t>
  </si>
  <si>
    <t>Satino</t>
  </si>
  <si>
    <t>Tork</t>
  </si>
  <si>
    <t>Euro</t>
  </si>
  <si>
    <t>Verpakkings eenheid</t>
  </si>
  <si>
    <t>Prijs per verpakkings eenheid</t>
  </si>
  <si>
    <t>0 tot 20 stuks</t>
  </si>
  <si>
    <t>21 tot 50 stuks</t>
  </si>
  <si>
    <t>&gt; dan 50 stuks</t>
  </si>
  <si>
    <t>Opdrachtgever heeft geen plicht tot afname.</t>
  </si>
  <si>
    <t>Hygiene boxen (wisseling 1x per 4 weken)</t>
  </si>
  <si>
    <t>CWS</t>
  </si>
  <si>
    <t>art. 44.370 Euro foam lotion zeep (Gelecon)</t>
  </si>
  <si>
    <t>art. 44.375 Euro foamsoap pearl lotion (Gelecon)</t>
  </si>
  <si>
    <t>Perceel</t>
  </si>
  <si>
    <t>Da Costaschool Hollanderstraat</t>
  </si>
  <si>
    <t>Hollanderstraat</t>
  </si>
  <si>
    <t>Hollanderstraat 21</t>
  </si>
  <si>
    <t>005p</t>
  </si>
  <si>
    <t>006p</t>
  </si>
  <si>
    <t>007p</t>
  </si>
  <si>
    <t>008p</t>
  </si>
  <si>
    <t>009p</t>
  </si>
  <si>
    <t>010p</t>
  </si>
  <si>
    <t>041p</t>
  </si>
  <si>
    <t>042p</t>
  </si>
  <si>
    <t>043p</t>
  </si>
  <si>
    <t>044p</t>
  </si>
  <si>
    <t>045p</t>
  </si>
  <si>
    <t>hollanderstraat 21</t>
  </si>
  <si>
    <t>De Elout incl. Peuterspeelzaal De Klimmertjes</t>
  </si>
  <si>
    <t>Copernicusstraat 159</t>
  </si>
  <si>
    <t>Directie kantoor</t>
  </si>
  <si>
    <t>De Ontmoeting</t>
  </si>
  <si>
    <t>Draaistraat 16</t>
  </si>
  <si>
    <t>003 p</t>
  </si>
  <si>
    <t>004 p</t>
  </si>
  <si>
    <t>013 gas meter</t>
  </si>
  <si>
    <t>Speelzalen</t>
  </si>
  <si>
    <t>d.h.g.tegel</t>
  </si>
  <si>
    <t>069 cv</t>
  </si>
  <si>
    <t>070 buiten trap</t>
  </si>
  <si>
    <t>071 ijzeren treden achterkant</t>
  </si>
  <si>
    <t>metaal</t>
  </si>
  <si>
    <t>Oranje Nassauschool incl. Peuterspeelzaal O.N. Schooltje</t>
  </si>
  <si>
    <t>Weissenbruchstraat 119</t>
  </si>
  <si>
    <t>Lokaal BSO</t>
  </si>
  <si>
    <t>002 B</t>
  </si>
  <si>
    <t>003 B</t>
  </si>
  <si>
    <t>004 P</t>
  </si>
  <si>
    <t>005 P</t>
  </si>
  <si>
    <t>Paul Krugerschool incl. Peuterspeelzaal De Woelwatertjes</t>
  </si>
  <si>
    <t>Fischerstraat 133</t>
  </si>
  <si>
    <t>Sanitaire ruimten Logistieke Hal</t>
  </si>
  <si>
    <t xml:space="preserve">SBO de Springplank </t>
  </si>
  <si>
    <t>Pachtersdreef 3</t>
  </si>
  <si>
    <t>SBO het Mozaiek</t>
  </si>
  <si>
    <t>v. d. Eyndestraat 24</t>
  </si>
  <si>
    <t>Da Costaschool De Spiegel</t>
  </si>
  <si>
    <t>Vlierboomstraat 362</t>
  </si>
  <si>
    <t>-1.01</t>
  </si>
  <si>
    <t>Tarket</t>
  </si>
  <si>
    <t>-1.02</t>
  </si>
  <si>
    <t>Sport</t>
  </si>
  <si>
    <t>-1.03</t>
  </si>
  <si>
    <t>Trapportaal</t>
  </si>
  <si>
    <t>-1.04</t>
  </si>
  <si>
    <t>Toestellenberging</t>
  </si>
  <si>
    <t>-1.05</t>
  </si>
  <si>
    <t>Verblijfsruimte</t>
  </si>
  <si>
    <t>Lino</t>
  </si>
  <si>
    <t>-1.06</t>
  </si>
  <si>
    <t>-1.07</t>
  </si>
  <si>
    <t>-1.08</t>
  </si>
  <si>
    <t>0.01</t>
  </si>
  <si>
    <t>Hal</t>
  </si>
  <si>
    <t>0.02</t>
  </si>
  <si>
    <t>0.03</t>
  </si>
  <si>
    <t>Toiletgroep</t>
  </si>
  <si>
    <t>Giet</t>
  </si>
  <si>
    <t>0.04</t>
  </si>
  <si>
    <t>0.05</t>
  </si>
  <si>
    <t>Leslokaal</t>
  </si>
  <si>
    <t>Toilet MIVA</t>
  </si>
  <si>
    <t>Installatieruimte</t>
  </si>
  <si>
    <t>xxxxxx</t>
  </si>
  <si>
    <t>xxxxx</t>
  </si>
  <si>
    <t>Slaapruimte</t>
  </si>
  <si>
    <t>Kinderdagverblijf</t>
  </si>
  <si>
    <t>WC Peuters</t>
  </si>
  <si>
    <t>Leiding</t>
  </si>
  <si>
    <t>NNB</t>
  </si>
  <si>
    <t>Gang Trappenhuis</t>
  </si>
  <si>
    <t>Kleedkamer</t>
  </si>
  <si>
    <t>Douches</t>
  </si>
  <si>
    <t>Toilet</t>
  </si>
  <si>
    <t>2.01</t>
  </si>
  <si>
    <t>2.02</t>
  </si>
  <si>
    <t>2.03</t>
  </si>
  <si>
    <t>2.04</t>
  </si>
  <si>
    <t>2.05</t>
  </si>
  <si>
    <t>2.06</t>
  </si>
  <si>
    <t>2.06a</t>
  </si>
  <si>
    <t>2.07</t>
  </si>
  <si>
    <t>2.07a</t>
  </si>
  <si>
    <t>2.08</t>
  </si>
  <si>
    <t>2.09</t>
  </si>
  <si>
    <t>2.10</t>
  </si>
  <si>
    <t>2.11</t>
  </si>
  <si>
    <t>Directie</t>
  </si>
  <si>
    <t>2.12</t>
  </si>
  <si>
    <t>Personeel</t>
  </si>
  <si>
    <t>2.13</t>
  </si>
  <si>
    <t>2.14</t>
  </si>
  <si>
    <t>Patchkast</t>
  </si>
  <si>
    <t>2.15</t>
  </si>
  <si>
    <t>2.16</t>
  </si>
  <si>
    <t>2.17</t>
  </si>
  <si>
    <t>Mediatheek</t>
  </si>
  <si>
    <t>2.18</t>
  </si>
  <si>
    <t>Ouderlokaal</t>
  </si>
  <si>
    <t>2.19</t>
  </si>
  <si>
    <t>2.20</t>
  </si>
  <si>
    <t>Spiegelkamer</t>
  </si>
  <si>
    <t>2.21</t>
  </si>
  <si>
    <t>2.22</t>
  </si>
  <si>
    <t>BG/Speellokaal</t>
  </si>
  <si>
    <t>2.23</t>
  </si>
  <si>
    <t>2.24</t>
  </si>
  <si>
    <t>2.25</t>
  </si>
  <si>
    <t>2.25b</t>
  </si>
  <si>
    <t>2.25c</t>
  </si>
  <si>
    <t>2.25d</t>
  </si>
  <si>
    <t>2.25e</t>
  </si>
  <si>
    <t>2.25f</t>
  </si>
  <si>
    <t>2.26</t>
  </si>
  <si>
    <t>3.01</t>
  </si>
  <si>
    <t>3.02</t>
  </si>
  <si>
    <t>3.03</t>
  </si>
  <si>
    <t>3.04</t>
  </si>
  <si>
    <t>3.05</t>
  </si>
  <si>
    <t>Gang/Trappenhuis</t>
  </si>
  <si>
    <t>3.06</t>
  </si>
  <si>
    <t>3.06b</t>
  </si>
  <si>
    <t>3.06c</t>
  </si>
  <si>
    <t>3.06d</t>
  </si>
  <si>
    <t>3.06e</t>
  </si>
  <si>
    <t>3.06f</t>
  </si>
  <si>
    <t>3.07</t>
  </si>
  <si>
    <t>3.08</t>
  </si>
  <si>
    <t xml:space="preserve">Gang </t>
  </si>
  <si>
    <t>3.09</t>
  </si>
  <si>
    <t>3.10</t>
  </si>
  <si>
    <t>3.11</t>
  </si>
  <si>
    <t>3.12</t>
  </si>
  <si>
    <t>3.13</t>
  </si>
  <si>
    <t>3.14</t>
  </si>
  <si>
    <t>Technische ruimte</t>
  </si>
  <si>
    <t>3.15</t>
  </si>
  <si>
    <t>Speeldak</t>
  </si>
  <si>
    <t>Betontegel</t>
  </si>
  <si>
    <t>3.16</t>
  </si>
  <si>
    <t>De Vliermeent</t>
  </si>
  <si>
    <t>Vlierboomstr. 362</t>
  </si>
  <si>
    <t>Entree school</t>
  </si>
  <si>
    <t>Centrale hal</t>
  </si>
  <si>
    <t>Concierge</t>
  </si>
  <si>
    <t>Trappenhuis woning</t>
  </si>
  <si>
    <t>NIO</t>
  </si>
  <si>
    <t>Berging fietsen</t>
  </si>
  <si>
    <t>Repro</t>
  </si>
  <si>
    <t>Gietvloer</t>
  </si>
  <si>
    <t>Toilet/Douche</t>
  </si>
  <si>
    <t>Sportvloer</t>
  </si>
  <si>
    <t>Toneel/Podium</t>
  </si>
  <si>
    <t>Trap naar kelder</t>
  </si>
  <si>
    <t>Lokaal</t>
  </si>
  <si>
    <t>Toilet 3x</t>
  </si>
  <si>
    <t>Miva</t>
  </si>
  <si>
    <t>0.20a</t>
  </si>
  <si>
    <t>Toilet PSZ</t>
  </si>
  <si>
    <t>Berging PSZ</t>
  </si>
  <si>
    <t>Trappenhuis/Entree PSZ</t>
  </si>
  <si>
    <t>Toestelberging</t>
  </si>
  <si>
    <t>LMB</t>
  </si>
  <si>
    <t>Ruimte docent</t>
  </si>
  <si>
    <t>0.40a</t>
  </si>
  <si>
    <t>CV ruimte/Boiler</t>
  </si>
  <si>
    <t>Toestelberging buitenmat.</t>
  </si>
  <si>
    <t>Fust</t>
  </si>
  <si>
    <t>Berging Achilles</t>
  </si>
  <si>
    <t>Handvaardigheid</t>
  </si>
  <si>
    <t>Douche</t>
  </si>
  <si>
    <t>0.53</t>
  </si>
  <si>
    <t>0.54</t>
  </si>
  <si>
    <t>0.55</t>
  </si>
  <si>
    <t>0.56</t>
  </si>
  <si>
    <t>0.57</t>
  </si>
  <si>
    <t>0.58</t>
  </si>
  <si>
    <t>0.59</t>
  </si>
  <si>
    <t>0.60</t>
  </si>
  <si>
    <t>0.62</t>
  </si>
  <si>
    <t>0.63</t>
  </si>
  <si>
    <t>Toilet 2x</t>
  </si>
  <si>
    <t>0.64</t>
  </si>
  <si>
    <t>0.65</t>
  </si>
  <si>
    <t>0.66</t>
  </si>
  <si>
    <t>Directiekamer</t>
  </si>
  <si>
    <t>Overloop/Trappenhuis</t>
  </si>
  <si>
    <t>Toiletten 4x</t>
  </si>
  <si>
    <t>Hal/Gang</t>
  </si>
  <si>
    <t>Hout</t>
  </si>
  <si>
    <t>RT</t>
  </si>
  <si>
    <t>1.14a</t>
  </si>
  <si>
    <t>Personeelsruimte</t>
  </si>
  <si>
    <t>Toilet dames</t>
  </si>
  <si>
    <t>1.34</t>
  </si>
  <si>
    <t>1.35</t>
  </si>
  <si>
    <t>Toilet heren</t>
  </si>
  <si>
    <t>1.36</t>
  </si>
  <si>
    <t>Bestuurskamer</t>
  </si>
  <si>
    <t>1.37</t>
  </si>
  <si>
    <t>1.38</t>
  </si>
  <si>
    <t>1.40</t>
  </si>
  <si>
    <t>1.41</t>
  </si>
  <si>
    <t>Bar</t>
  </si>
  <si>
    <t>1.42</t>
  </si>
  <si>
    <t>Kantine/BSO</t>
  </si>
  <si>
    <t>1.44</t>
  </si>
  <si>
    <t>1.45</t>
  </si>
  <si>
    <t>Patch kast</t>
  </si>
  <si>
    <t>Techniek</t>
  </si>
  <si>
    <t>Interfold Z vouw handdoek</t>
  </si>
  <si>
    <t>Jumbo rol 180m</t>
  </si>
  <si>
    <t>toiletpapier 400vels</t>
  </si>
  <si>
    <t>tork mild mini liquid soap</t>
  </si>
  <si>
    <t>floral air</t>
  </si>
  <si>
    <t>Microburst vulling Expressions</t>
  </si>
  <si>
    <t>Zig-Zag handdoekjes - recycled tissue - 2 laags - 24 x 23 cm - WIT</t>
  </si>
  <si>
    <t>Mini Jumbo toiletpapier - recycled tissue - 2 laags - 180 m - WIT</t>
  </si>
  <si>
    <t>Tork Premium Soap Liquid Mini Mild - 420502</t>
  </si>
  <si>
    <t>Admire foam soap - 1L</t>
  </si>
  <si>
    <t xml:space="preserve">Luchtroosters in ramen </t>
  </si>
  <si>
    <t>Uitzuigen/reinigen</t>
  </si>
  <si>
    <t>SCOH-EA-DK-RT-2023</t>
  </si>
  <si>
    <t>Stichting Christelijk Onderwijs Haaglanden</t>
  </si>
  <si>
    <t>Uurlonen 1 januari 2024</t>
  </si>
  <si>
    <t>Inloopmat 2,00 x 1,40 wisseling 1x per maand</t>
  </si>
  <si>
    <t>Inloopmat 1,20 x 0,85 wisseling 1x per maand</t>
  </si>
  <si>
    <t>Aanbesteding 23-10-2023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</si>
</sst>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s>
  <fonts count="113">
    <font>
      <sz val="10"/>
      <name val="MS Sans Serif"/>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5">
    <xf numFmtId="0" fontId="0" fillId="0" borderId="0"/>
    <xf numFmtId="164"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71" fontId="6" fillId="0" borderId="0" applyFont="0" applyFill="0" applyBorder="0" applyAlignment="0" applyProtection="0"/>
    <xf numFmtId="168" fontId="8" fillId="0" borderId="0" applyFont="0" applyFill="0" applyBorder="0" applyAlignment="0" applyProtection="0"/>
    <xf numFmtId="168" fontId="6" fillId="0" borderId="0" applyFont="0" applyFill="0" applyBorder="0" applyAlignment="0" applyProtection="0"/>
    <xf numFmtId="0" fontId="14"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2" fillId="0" borderId="0"/>
    <xf numFmtId="0" fontId="8" fillId="0" borderId="0"/>
    <xf numFmtId="0" fontId="6" fillId="0" borderId="0"/>
    <xf numFmtId="0" fontId="6" fillId="0" borderId="0"/>
    <xf numFmtId="0" fontId="10" fillId="0" borderId="0"/>
    <xf numFmtId="9" fontId="5" fillId="0" borderId="0" applyFont="0" applyFill="0" applyBorder="0" applyAlignment="0" applyProtection="0"/>
    <xf numFmtId="0" fontId="6" fillId="0" borderId="0"/>
    <xf numFmtId="166" fontId="5" fillId="0" borderId="0" applyFon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15" applyNumberFormat="0" applyAlignment="0" applyProtection="0"/>
    <xf numFmtId="0" fontId="25" fillId="7" borderId="16" applyNumberFormat="0" applyAlignment="0" applyProtection="0"/>
    <xf numFmtId="0" fontId="26" fillId="7" borderId="15" applyNumberFormat="0" applyAlignment="0" applyProtection="0"/>
    <xf numFmtId="0" fontId="27" fillId="0" borderId="17" applyNumberFormat="0" applyFill="0" applyAlignment="0" applyProtection="0"/>
    <xf numFmtId="0" fontId="28" fillId="8" borderId="1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20" applyNumberFormat="0" applyFill="0" applyAlignment="0" applyProtection="0"/>
    <xf numFmtId="0" fontId="32"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2" fillId="33" borderId="0" applyNumberFormat="0" applyBorder="0" applyAlignment="0" applyProtection="0"/>
    <xf numFmtId="0" fontId="4" fillId="0" borderId="0"/>
    <xf numFmtId="0" fontId="4" fillId="9" borderId="19" applyNumberFormat="0" applyFont="0" applyAlignment="0" applyProtection="0"/>
    <xf numFmtId="0" fontId="9" fillId="0" borderId="0"/>
    <xf numFmtId="0" fontId="33" fillId="0" borderId="0"/>
    <xf numFmtId="0" fontId="33"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82"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184" fontId="9" fillId="0" borderId="0" applyFont="0" applyFill="0" applyBorder="0" applyAlignment="0" applyProtection="0"/>
    <xf numFmtId="182"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5" fillId="34" borderId="0"/>
    <xf numFmtId="185" fontId="5" fillId="0" borderId="0"/>
    <xf numFmtId="0" fontId="12"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36" fillId="0" borderId="0"/>
    <xf numFmtId="0" fontId="9" fillId="0" borderId="0"/>
    <xf numFmtId="0" fontId="3" fillId="0" borderId="0"/>
    <xf numFmtId="0" fontId="5" fillId="0" borderId="0"/>
    <xf numFmtId="0" fontId="37" fillId="0" borderId="0"/>
    <xf numFmtId="0" fontId="37" fillId="0" borderId="0"/>
    <xf numFmtId="0" fontId="5" fillId="0" borderId="0"/>
    <xf numFmtId="0" fontId="5" fillId="0" borderId="0"/>
    <xf numFmtId="0" fontId="37" fillId="0" borderId="0"/>
    <xf numFmtId="0" fontId="37" fillId="0" borderId="0"/>
    <xf numFmtId="0" fontId="9" fillId="0" borderId="0"/>
    <xf numFmtId="0" fontId="5" fillId="0" borderId="0"/>
    <xf numFmtId="0" fontId="15" fillId="0" borderId="0"/>
    <xf numFmtId="0" fontId="7" fillId="0" borderId="0"/>
    <xf numFmtId="186"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37"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7"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40" fillId="39" borderId="0" applyNumberFormat="0" applyBorder="0" applyAlignment="0" applyProtection="0"/>
    <xf numFmtId="0" fontId="41" fillId="4" borderId="0" applyNumberFormat="0" applyBorder="0" applyAlignment="0" applyProtection="0"/>
    <xf numFmtId="0" fontId="42" fillId="54" borderId="22" applyNumberFormat="0" applyAlignment="0" applyProtection="0"/>
    <xf numFmtId="0" fontId="9" fillId="0" borderId="0"/>
    <xf numFmtId="0" fontId="43" fillId="55" borderId="22" applyNumberFormat="0" applyAlignment="0" applyProtection="0"/>
    <xf numFmtId="0" fontId="44" fillId="56" borderId="23" applyNumberFormat="0" applyAlignment="0" applyProtection="0"/>
    <xf numFmtId="0" fontId="44" fillId="56" borderId="23" applyNumberFormat="0" applyAlignment="0" applyProtection="0"/>
    <xf numFmtId="0" fontId="45" fillId="0" borderId="0" applyNumberFormat="0" applyFill="0" applyBorder="0" applyAlignment="0" applyProtection="0"/>
    <xf numFmtId="0" fontId="46" fillId="0" borderId="24" applyNumberFormat="0" applyFill="0" applyAlignment="0" applyProtection="0"/>
    <xf numFmtId="0" fontId="47" fillId="38"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8" fillId="0" borderId="25" applyNumberFormat="0" applyFill="0" applyAlignment="0" applyProtection="0"/>
    <xf numFmtId="0" fontId="49" fillId="0" borderId="26" applyNumberFormat="0" applyFill="0" applyAlignment="0" applyProtection="0"/>
    <xf numFmtId="0" fontId="50" fillId="0" borderId="27" applyNumberFormat="0" applyFill="0" applyAlignment="0" applyProtection="0"/>
    <xf numFmtId="0" fontId="50" fillId="0" borderId="0" applyNumberFormat="0" applyFill="0" applyBorder="0" applyAlignment="0" applyProtection="0"/>
    <xf numFmtId="0" fontId="51" fillId="57" borderId="22" applyNumberFormat="0" applyAlignment="0" applyProtection="0"/>
    <xf numFmtId="0" fontId="38" fillId="58" borderId="1"/>
    <xf numFmtId="0" fontId="52" fillId="0" borderId="28" applyNumberFormat="0" applyFill="0" applyAlignment="0" applyProtection="0"/>
    <xf numFmtId="0" fontId="53" fillId="0" borderId="29" applyNumberFormat="0" applyFill="0" applyAlignment="0" applyProtection="0"/>
    <xf numFmtId="0" fontId="54" fillId="0" borderId="30" applyNumberFormat="0" applyFill="0" applyAlignment="0" applyProtection="0"/>
    <xf numFmtId="0" fontId="54" fillId="0" borderId="0" applyNumberFormat="0" applyFill="0" applyBorder="0" applyAlignment="0" applyProtection="0"/>
    <xf numFmtId="167" fontId="55" fillId="0" borderId="0">
      <alignment horizontal="center" vertical="center" textRotation="90" wrapText="1"/>
    </xf>
    <xf numFmtId="0" fontId="56" fillId="58" borderId="31"/>
    <xf numFmtId="0" fontId="57" fillId="0" borderId="32" applyNumberFormat="0" applyFill="0" applyAlignment="0" applyProtection="0"/>
    <xf numFmtId="188" fontId="5" fillId="0" borderId="0"/>
    <xf numFmtId="0" fontId="58" fillId="57" borderId="0" applyNumberFormat="0" applyBorder="0" applyAlignment="0" applyProtection="0"/>
    <xf numFmtId="0" fontId="58" fillId="57" borderId="0" applyNumberFormat="0" applyBorder="0" applyAlignment="0" applyProtection="0"/>
    <xf numFmtId="0" fontId="36" fillId="0" borderId="0"/>
    <xf numFmtId="0" fontId="5" fillId="59" borderId="33" applyNumberFormat="0" applyFont="0" applyAlignment="0" applyProtection="0"/>
    <xf numFmtId="0" fontId="37" fillId="59" borderId="33" applyNumberFormat="0" applyFont="0" applyAlignment="0" applyProtection="0"/>
    <xf numFmtId="0" fontId="59" fillId="37" borderId="0" applyNumberFormat="0" applyBorder="0" applyAlignment="0" applyProtection="0"/>
    <xf numFmtId="0" fontId="60" fillId="55" borderId="34" applyNumberFormat="0" applyAlignment="0" applyProtection="0"/>
    <xf numFmtId="0" fontId="56" fillId="60" borderId="35" applyNumberFormat="0" applyFont="0" applyBorder="0">
      <alignment horizontal="center"/>
    </xf>
    <xf numFmtId="0" fontId="61" fillId="0" borderId="0" applyNumberFormat="0" applyFill="0" applyBorder="0" applyAlignment="0" applyProtection="0"/>
    <xf numFmtId="0" fontId="62" fillId="0" borderId="0" applyNumberFormat="0" applyFill="0" applyBorder="0" applyAlignment="0" applyProtection="0"/>
    <xf numFmtId="0" fontId="63" fillId="0" borderId="36" applyNumberFormat="0" applyFill="0" applyAlignment="0" applyProtection="0"/>
    <xf numFmtId="0" fontId="63" fillId="0" borderId="37" applyNumberFormat="0" applyFill="0" applyAlignment="0" applyProtection="0"/>
    <xf numFmtId="0" fontId="60" fillId="54" borderId="34" applyNumberFormat="0" applyAlignment="0" applyProtection="0"/>
    <xf numFmtId="189" fontId="5" fillId="0" borderId="0"/>
    <xf numFmtId="190" fontId="9" fillId="0" borderId="0" applyFont="0" applyFill="0" applyBorder="0" applyAlignment="0" applyProtection="0"/>
    <xf numFmtId="170" fontId="5" fillId="0" borderId="0"/>
    <xf numFmtId="0" fontId="4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91" fontId="7"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2" fontId="38" fillId="0" borderId="0"/>
    <xf numFmtId="192" fontId="38" fillId="0" borderId="0"/>
    <xf numFmtId="0" fontId="65"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6" fillId="58" borderId="31"/>
    <xf numFmtId="193" fontId="56" fillId="0" borderId="0"/>
    <xf numFmtId="9" fontId="37" fillId="0" borderId="0" applyFont="0" applyFill="0" applyBorder="0" applyAlignment="0" applyProtection="0"/>
    <xf numFmtId="0" fontId="3" fillId="0" borderId="0"/>
    <xf numFmtId="0" fontId="9" fillId="0" borderId="0"/>
    <xf numFmtId="0" fontId="5" fillId="0" borderId="0"/>
    <xf numFmtId="0" fontId="9" fillId="0" borderId="0"/>
    <xf numFmtId="0" fontId="66"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37" fillId="0" borderId="0" applyFont="0" applyFill="0" applyBorder="0" applyAlignment="0" applyProtection="0"/>
    <xf numFmtId="166" fontId="9" fillId="0" borderId="0" applyFont="0" applyFill="0" applyBorder="0" applyAlignment="0" applyProtection="0"/>
    <xf numFmtId="194" fontId="9" fillId="0" borderId="0" applyFont="0" applyFill="0" applyBorder="0" applyAlignment="0" applyProtection="0"/>
  </cellStyleXfs>
  <cellXfs count="501">
    <xf numFmtId="0" fontId="0" fillId="0" borderId="0" xfId="0"/>
    <xf numFmtId="0" fontId="67" fillId="0" borderId="0" xfId="0" applyFont="1"/>
    <xf numFmtId="0" fontId="69" fillId="0" borderId="0" xfId="13" applyFont="1" applyProtection="1">
      <protection hidden="1"/>
    </xf>
    <xf numFmtId="0" fontId="69" fillId="0" borderId="0" xfId="0" applyFont="1"/>
    <xf numFmtId="2" fontId="69" fillId="0" borderId="0" xfId="11" applyNumberFormat="1" applyFont="1" applyProtection="1">
      <protection hidden="1"/>
    </xf>
    <xf numFmtId="0" fontId="69" fillId="0" borderId="0" xfId="13" applyFont="1" applyAlignment="1" applyProtection="1">
      <alignment vertical="center"/>
      <protection hidden="1"/>
    </xf>
    <xf numFmtId="0" fontId="70" fillId="0" borderId="0" xfId="13" applyFont="1" applyAlignment="1" applyProtection="1">
      <alignment horizontal="right" vertical="center"/>
      <protection hidden="1"/>
    </xf>
    <xf numFmtId="176" fontId="69" fillId="0" borderId="0" xfId="13" applyNumberFormat="1" applyFont="1" applyAlignment="1" applyProtection="1">
      <alignment vertical="center"/>
      <protection hidden="1"/>
    </xf>
    <xf numFmtId="0" fontId="68" fillId="0" borderId="0" xfId="13" applyFont="1" applyAlignment="1" applyProtection="1">
      <alignment horizontal="left" vertical="center"/>
      <protection hidden="1"/>
    </xf>
    <xf numFmtId="0" fontId="73" fillId="0" borderId="0" xfId="13" applyFont="1" applyAlignment="1" applyProtection="1">
      <alignment vertical="center"/>
      <protection hidden="1"/>
    </xf>
    <xf numFmtId="2" fontId="69" fillId="0" borderId="0" xfId="0" applyNumberFormat="1" applyFont="1" applyAlignment="1">
      <alignment vertical="center"/>
    </xf>
    <xf numFmtId="176" fontId="75" fillId="0" borderId="0" xfId="13" applyNumberFormat="1" applyFont="1" applyAlignment="1" applyProtection="1">
      <alignment vertical="center"/>
      <protection hidden="1"/>
    </xf>
    <xf numFmtId="177" fontId="69" fillId="0" borderId="0" xfId="13" applyNumberFormat="1" applyFont="1" applyAlignment="1" applyProtection="1">
      <alignment horizontal="right" vertical="center"/>
      <protection hidden="1"/>
    </xf>
    <xf numFmtId="0" fontId="69" fillId="0" borderId="0" xfId="13" applyFont="1" applyAlignment="1" applyProtection="1">
      <alignment horizontal="right" vertical="center"/>
      <protection hidden="1"/>
    </xf>
    <xf numFmtId="0" fontId="77" fillId="0" borderId="0" xfId="13" applyFont="1" applyProtection="1">
      <protection hidden="1"/>
    </xf>
    <xf numFmtId="9" fontId="74" fillId="2" borderId="1" xfId="64" applyFont="1" applyFill="1" applyBorder="1" applyAlignment="1">
      <alignment horizontal="center"/>
    </xf>
    <xf numFmtId="2" fontId="84" fillId="0" borderId="0" xfId="62" applyNumberFormat="1" applyFont="1"/>
    <xf numFmtId="0" fontId="69" fillId="0" borderId="0" xfId="88" applyFont="1"/>
    <xf numFmtId="173" fontId="74" fillId="0" borderId="0" xfId="8" applyNumberFormat="1" applyFont="1" applyAlignment="1">
      <alignment horizontal="center"/>
    </xf>
    <xf numFmtId="2" fontId="79" fillId="0" borderId="0" xfId="12" applyNumberFormat="1" applyFont="1"/>
    <xf numFmtId="2" fontId="74" fillId="0" borderId="0" xfId="88" applyNumberFormat="1" applyFont="1"/>
    <xf numFmtId="0" fontId="71" fillId="0" borderId="0" xfId="88" applyFont="1"/>
    <xf numFmtId="0" fontId="74" fillId="0" borderId="1" xfId="88" applyFont="1" applyBorder="1"/>
    <xf numFmtId="0" fontId="74" fillId="0" borderId="0" xfId="88" applyFont="1"/>
    <xf numFmtId="167" fontId="69" fillId="0" borderId="0" xfId="8" applyFont="1"/>
    <xf numFmtId="167" fontId="82" fillId="61" borderId="38" xfId="8" applyFont="1" applyFill="1" applyBorder="1" applyAlignment="1">
      <alignment horizontal="center" vertical="top" wrapText="1"/>
    </xf>
    <xf numFmtId="2" fontId="83" fillId="0" borderId="0" xfId="12" applyNumberFormat="1" applyFont="1"/>
    <xf numFmtId="187" fontId="85" fillId="0" borderId="0" xfId="62" applyNumberFormat="1" applyFont="1" applyAlignment="1">
      <alignment horizontal="left"/>
    </xf>
    <xf numFmtId="0" fontId="69" fillId="0" borderId="0" xfId="0" applyFont="1" applyAlignment="1">
      <alignment horizontal="center" vertical="center"/>
    </xf>
    <xf numFmtId="0" fontId="69" fillId="0" borderId="0" xfId="16" applyFont="1" applyAlignment="1">
      <alignment horizontal="center"/>
    </xf>
    <xf numFmtId="2" fontId="69" fillId="0" borderId="0" xfId="8" applyNumberFormat="1" applyFont="1" applyAlignment="1">
      <alignment horizontal="left"/>
    </xf>
    <xf numFmtId="172" fontId="69" fillId="0" borderId="0" xfId="16" applyNumberFormat="1" applyFont="1" applyAlignment="1">
      <alignment horizontal="center"/>
    </xf>
    <xf numFmtId="172" fontId="75" fillId="0" borderId="0" xfId="12" applyNumberFormat="1" applyFont="1"/>
    <xf numFmtId="3" fontId="75" fillId="0" borderId="0" xfId="12" applyNumberFormat="1" applyFont="1" applyAlignment="1">
      <alignment horizontal="right"/>
    </xf>
    <xf numFmtId="167" fontId="69" fillId="0" borderId="0" xfId="8" applyFont="1" applyAlignment="1">
      <alignment horizontal="right"/>
    </xf>
    <xf numFmtId="0" fontId="69" fillId="0" borderId="0" xfId="16" applyFont="1"/>
    <xf numFmtId="0" fontId="73" fillId="0" borderId="0" xfId="16" applyFont="1"/>
    <xf numFmtId="0" fontId="69" fillId="0" borderId="1" xfId="0" applyFont="1" applyBorder="1" applyAlignment="1">
      <alignment vertical="center"/>
    </xf>
    <xf numFmtId="0" fontId="69" fillId="0" borderId="1" xfId="0" applyFont="1" applyBorder="1" applyAlignment="1">
      <alignment horizontal="center" vertical="center"/>
    </xf>
    <xf numFmtId="49" fontId="69" fillId="0" borderId="1" xfId="0" applyNumberFormat="1" applyFont="1" applyBorder="1" applyAlignment="1">
      <alignment horizontal="center"/>
    </xf>
    <xf numFmtId="0" fontId="69" fillId="0" borderId="1" xfId="0" applyFont="1" applyBorder="1"/>
    <xf numFmtId="173" fontId="71" fillId="0" borderId="1" xfId="8" applyNumberFormat="1" applyFont="1" applyFill="1" applyBorder="1" applyAlignment="1">
      <alignment horizontal="center"/>
    </xf>
    <xf numFmtId="173" fontId="78" fillId="0" borderId="1" xfId="8" applyNumberFormat="1" applyFont="1" applyFill="1" applyBorder="1" applyAlignment="1">
      <alignment horizontal="center"/>
    </xf>
    <xf numFmtId="49" fontId="78" fillId="0" borderId="1" xfId="16" applyNumberFormat="1" applyFont="1" applyBorder="1" applyAlignment="1">
      <alignment horizontal="center"/>
    </xf>
    <xf numFmtId="0" fontId="78" fillId="0" borderId="1" xfId="16" applyFont="1" applyBorder="1" applyAlignment="1">
      <alignment horizontal="left"/>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8" fillId="0" borderId="1" xfId="0" applyNumberFormat="1" applyFont="1" applyBorder="1" applyAlignment="1">
      <alignment horizontal="center" vertical="center" wrapText="1"/>
    </xf>
    <xf numFmtId="1" fontId="78" fillId="0" borderId="6" xfId="0" applyNumberFormat="1" applyFont="1" applyBorder="1" applyAlignment="1">
      <alignment horizontal="center" vertical="center" wrapText="1"/>
    </xf>
    <xf numFmtId="1" fontId="78" fillId="0" borderId="7" xfId="0" applyNumberFormat="1" applyFont="1" applyBorder="1" applyAlignment="1">
      <alignment horizontal="center" vertical="center" wrapText="1"/>
    </xf>
    <xf numFmtId="2" fontId="84" fillId="0" borderId="0" xfId="12" applyNumberFormat="1" applyFont="1"/>
    <xf numFmtId="0" fontId="69" fillId="0" borderId="0" xfId="0" applyFont="1" applyAlignment="1">
      <alignment horizontal="center"/>
    </xf>
    <xf numFmtId="0" fontId="71" fillId="0" borderId="0" xfId="0" applyFont="1" applyAlignment="1">
      <alignment horizontal="center"/>
    </xf>
    <xf numFmtId="2" fontId="77" fillId="0" borderId="0" xfId="0" applyNumberFormat="1" applyFont="1"/>
    <xf numFmtId="2" fontId="74" fillId="0" borderId="0" xfId="0" applyNumberFormat="1" applyFont="1" applyAlignment="1">
      <alignment horizontal="center"/>
    </xf>
    <xf numFmtId="2" fontId="74" fillId="0" borderId="0" xfId="0" applyNumberFormat="1" applyFont="1" applyAlignment="1">
      <alignment horizontal="left"/>
    </xf>
    <xf numFmtId="2" fontId="74" fillId="0" borderId="0" xfId="0" applyNumberFormat="1" applyFont="1"/>
    <xf numFmtId="0" fontId="74" fillId="0" borderId="0" xfId="0" applyFont="1"/>
    <xf numFmtId="0" fontId="88" fillId="0" borderId="0" xfId="0" applyFont="1"/>
    <xf numFmtId="167" fontId="74" fillId="0" borderId="0" xfId="8" applyFont="1"/>
    <xf numFmtId="2" fontId="83" fillId="0" borderId="0" xfId="0" applyNumberFormat="1" applyFont="1" applyAlignment="1">
      <alignment horizontal="left"/>
    </xf>
    <xf numFmtId="2" fontId="79" fillId="0" borderId="0" xfId="12" applyNumberFormat="1" applyFont="1" applyAlignment="1">
      <alignment horizontal="left"/>
    </xf>
    <xf numFmtId="9" fontId="89" fillId="61" borderId="4" xfId="15"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2" fontId="82" fillId="61" borderId="4" xfId="0" applyNumberFormat="1" applyFont="1" applyFill="1" applyBorder="1" applyAlignment="1">
      <alignment horizontal="left" vertical="top"/>
    </xf>
    <xf numFmtId="0" fontId="82" fillId="61" borderId="4" xfId="0" applyFont="1" applyFill="1" applyBorder="1" applyAlignment="1">
      <alignment horizontal="left" vertical="top" wrapText="1"/>
    </xf>
    <xf numFmtId="167" fontId="82" fillId="61" borderId="4" xfId="8" applyFont="1" applyFill="1" applyBorder="1" applyAlignment="1">
      <alignment horizontal="center" vertical="top" wrapText="1"/>
    </xf>
    <xf numFmtId="167" fontId="89" fillId="61" borderId="4" xfId="8" applyFont="1" applyFill="1" applyBorder="1" applyAlignment="1">
      <alignment horizontal="center" vertical="top" wrapText="1"/>
    </xf>
    <xf numFmtId="2" fontId="69" fillId="0" borderId="1" xfId="0" applyNumberFormat="1" applyFont="1" applyBorder="1"/>
    <xf numFmtId="174" fontId="69" fillId="0" borderId="1" xfId="0" applyNumberFormat="1" applyFont="1" applyBorder="1" applyAlignment="1">
      <alignment horizontal="left"/>
    </xf>
    <xf numFmtId="1" fontId="87" fillId="0" borderId="1" xfId="0" applyNumberFormat="1" applyFont="1" applyBorder="1" applyAlignment="1">
      <alignment horizontal="center"/>
    </xf>
    <xf numFmtId="43" fontId="71" fillId="0" borderId="1" xfId="8" applyNumberFormat="1" applyFont="1" applyFill="1" applyBorder="1" applyAlignment="1">
      <alignment horizontal="center"/>
    </xf>
    <xf numFmtId="1" fontId="71" fillId="0" borderId="1" xfId="8" applyNumberFormat="1" applyFont="1" applyFill="1" applyBorder="1" applyAlignment="1">
      <alignment horizontal="center"/>
    </xf>
    <xf numFmtId="2" fontId="71" fillId="0" borderId="1" xfId="8" applyNumberFormat="1" applyFont="1" applyFill="1" applyBorder="1" applyAlignment="1">
      <alignment horizontal="center"/>
    </xf>
    <xf numFmtId="0" fontId="71" fillId="0" borderId="0" xfId="0" applyFont="1"/>
    <xf numFmtId="0" fontId="69" fillId="0" borderId="4" xfId="0" applyFont="1" applyBorder="1"/>
    <xf numFmtId="0" fontId="69" fillId="0" borderId="7" xfId="0" applyFont="1" applyBorder="1"/>
    <xf numFmtId="174" fontId="69" fillId="0" borderId="9" xfId="0" applyNumberFormat="1" applyFont="1" applyBorder="1" applyAlignment="1">
      <alignment horizontal="left"/>
    </xf>
    <xf numFmtId="0" fontId="69" fillId="0" borderId="9" xfId="0" applyFont="1" applyBorder="1"/>
    <xf numFmtId="0" fontId="69" fillId="0" borderId="21" xfId="0" applyFont="1" applyBorder="1" applyAlignment="1">
      <alignment wrapText="1"/>
    </xf>
    <xf numFmtId="0" fontId="69" fillId="0" borderId="21" xfId="0" applyFont="1" applyBorder="1"/>
    <xf numFmtId="0" fontId="69" fillId="2" borderId="21" xfId="0" applyFont="1" applyFill="1" applyBorder="1" applyAlignment="1">
      <alignment wrapText="1"/>
    </xf>
    <xf numFmtId="0" fontId="87" fillId="0" borderId="21" xfId="58" applyFont="1" applyBorder="1" applyAlignment="1">
      <alignment wrapText="1"/>
    </xf>
    <xf numFmtId="0" fontId="87" fillId="0" borderId="0" xfId="0" applyFont="1"/>
    <xf numFmtId="0" fontId="71" fillId="0" borderId="0" xfId="13" applyFont="1" applyProtection="1">
      <protection hidden="1"/>
    </xf>
    <xf numFmtId="0" fontId="74" fillId="0" borderId="0" xfId="0" applyFont="1" applyAlignment="1">
      <alignment horizontal="center"/>
    </xf>
    <xf numFmtId="0" fontId="69" fillId="0" borderId="0" xfId="0" applyFont="1" applyAlignment="1">
      <alignment vertical="center"/>
    </xf>
    <xf numFmtId="2" fontId="69" fillId="0" borderId="0" xfId="13" applyNumberFormat="1" applyFont="1" applyAlignment="1" applyProtection="1">
      <alignment vertical="center"/>
      <protection hidden="1"/>
    </xf>
    <xf numFmtId="2" fontId="79" fillId="0" borderId="0" xfId="13" applyNumberFormat="1" applyFont="1" applyAlignment="1" applyProtection="1">
      <alignment vertical="center"/>
      <protection locked="0"/>
    </xf>
    <xf numFmtId="2" fontId="69" fillId="0" borderId="3" xfId="11" applyNumberFormat="1" applyFont="1" applyBorder="1" applyProtection="1">
      <protection hidden="1"/>
    </xf>
    <xf numFmtId="2" fontId="69" fillId="0" borderId="5" xfId="11" applyNumberFormat="1" applyFont="1" applyBorder="1" applyProtection="1">
      <protection hidden="1"/>
    </xf>
    <xf numFmtId="2" fontId="69" fillId="0" borderId="7" xfId="11" applyNumberFormat="1" applyFont="1" applyBorder="1" applyProtection="1">
      <protection hidden="1"/>
    </xf>
    <xf numFmtId="0" fontId="69" fillId="0" borderId="5" xfId="0" applyFont="1" applyBorder="1"/>
    <xf numFmtId="177" fontId="69" fillId="2" borderId="0" xfId="11" applyNumberFormat="1" applyFont="1" applyFill="1" applyAlignment="1" applyProtection="1">
      <alignment vertical="center"/>
      <protection hidden="1"/>
    </xf>
    <xf numFmtId="0" fontId="74" fillId="0" borderId="5" xfId="0" applyFont="1" applyBorder="1"/>
    <xf numFmtId="0" fontId="74" fillId="0" borderId="7" xfId="0" applyFont="1" applyBorder="1"/>
    <xf numFmtId="177" fontId="74" fillId="0" borderId="1" xfId="11" applyNumberFormat="1" applyFont="1" applyBorder="1" applyAlignment="1" applyProtection="1">
      <alignment vertical="center"/>
      <protection hidden="1"/>
    </xf>
    <xf numFmtId="177" fontId="69" fillId="0" borderId="1" xfId="11" applyNumberFormat="1" applyFont="1" applyBorder="1" applyAlignment="1" applyProtection="1">
      <alignment vertical="center"/>
      <protection hidden="1"/>
    </xf>
    <xf numFmtId="10" fontId="74" fillId="0" borderId="7" xfId="0" applyNumberFormat="1" applyFont="1" applyBorder="1"/>
    <xf numFmtId="0" fontId="68" fillId="0" borderId="3" xfId="13" applyFont="1" applyBorder="1" applyAlignment="1" applyProtection="1">
      <alignment horizontal="left" vertical="center"/>
      <protection hidden="1"/>
    </xf>
    <xf numFmtId="2" fontId="74" fillId="0" borderId="1" xfId="11" applyNumberFormat="1" applyFont="1" applyBorder="1" applyAlignment="1" applyProtection="1">
      <alignment horizontal="center"/>
      <protection hidden="1"/>
    </xf>
    <xf numFmtId="179" fontId="73" fillId="0" borderId="1" xfId="13" applyNumberFormat="1" applyFont="1" applyBorder="1" applyAlignment="1" applyProtection="1">
      <alignment horizontal="left" vertical="center"/>
      <protection hidden="1"/>
    </xf>
    <xf numFmtId="179" fontId="73" fillId="0" borderId="11" xfId="13" applyNumberFormat="1" applyFont="1" applyBorder="1" applyAlignment="1" applyProtection="1">
      <alignment horizontal="left" vertical="center"/>
      <protection hidden="1"/>
    </xf>
    <xf numFmtId="0" fontId="69" fillId="0" borderId="5" xfId="11" applyFont="1" applyBorder="1" applyAlignment="1" applyProtection="1">
      <alignment vertical="center"/>
      <protection hidden="1"/>
    </xf>
    <xf numFmtId="0" fontId="69" fillId="0" borderId="2" xfId="0" applyFont="1" applyBorder="1"/>
    <xf numFmtId="10" fontId="73" fillId="0" borderId="0" xfId="15" applyNumberFormat="1" applyFont="1" applyFill="1" applyBorder="1" applyAlignment="1" applyProtection="1">
      <alignment horizontal="right" vertical="center"/>
      <protection hidden="1"/>
    </xf>
    <xf numFmtId="0" fontId="69" fillId="0" borderId="6" xfId="0" applyFont="1" applyBorder="1"/>
    <xf numFmtId="181" fontId="69" fillId="0" borderId="0" xfId="11" applyNumberFormat="1" applyFont="1" applyProtection="1">
      <protection hidden="1"/>
    </xf>
    <xf numFmtId="10" fontId="68" fillId="0" borderId="0" xfId="15" applyNumberFormat="1" applyFont="1" applyFill="1" applyBorder="1" applyAlignment="1"/>
    <xf numFmtId="179" fontId="69" fillId="0" borderId="0" xfId="13" applyNumberFormat="1" applyFont="1" applyAlignment="1" applyProtection="1">
      <alignment vertical="center"/>
      <protection hidden="1"/>
    </xf>
    <xf numFmtId="0" fontId="73" fillId="0" borderId="1" xfId="13" applyFont="1" applyBorder="1" applyAlignment="1" applyProtection="1">
      <alignment horizontal="left" vertical="center"/>
      <protection hidden="1"/>
    </xf>
    <xf numFmtId="0" fontId="68" fillId="0" borderId="1" xfId="13" applyFont="1" applyBorder="1" applyAlignment="1" applyProtection="1">
      <alignment vertical="center"/>
      <protection hidden="1"/>
    </xf>
    <xf numFmtId="0" fontId="76" fillId="0" borderId="1" xfId="13" applyFont="1" applyBorder="1" applyAlignment="1" applyProtection="1">
      <alignment vertical="center"/>
      <protection hidden="1"/>
    </xf>
    <xf numFmtId="0" fontId="69" fillId="0" borderId="1" xfId="13" applyFont="1" applyBorder="1" applyAlignment="1" applyProtection="1">
      <alignment vertical="center"/>
      <protection hidden="1"/>
    </xf>
    <xf numFmtId="10" fontId="73" fillId="0" borderId="1" xfId="15" applyNumberFormat="1" applyFont="1" applyFill="1" applyBorder="1" applyAlignment="1" applyProtection="1">
      <alignment vertical="center"/>
      <protection hidden="1"/>
    </xf>
    <xf numFmtId="0" fontId="67" fillId="0" borderId="0" xfId="0" applyFont="1" applyAlignment="1">
      <alignment horizontal="left" indent="3"/>
    </xf>
    <xf numFmtId="0" fontId="67" fillId="0" borderId="0" xfId="0" applyFont="1" applyAlignment="1">
      <alignment horizontal="left" indent="1"/>
    </xf>
    <xf numFmtId="180" fontId="67" fillId="0" borderId="0" xfId="0" applyNumberFormat="1" applyFont="1"/>
    <xf numFmtId="179" fontId="67" fillId="0" borderId="0" xfId="0" applyNumberFormat="1" applyFont="1"/>
    <xf numFmtId="2" fontId="90" fillId="61" borderId="5" xfId="13" applyNumberFormat="1" applyFont="1" applyFill="1" applyBorder="1" applyAlignment="1" applyProtection="1">
      <alignment horizontal="left" vertical="center"/>
      <protection hidden="1"/>
    </xf>
    <xf numFmtId="2" fontId="86" fillId="61" borderId="6" xfId="11" applyNumberFormat="1" applyFont="1" applyFill="1" applyBorder="1" applyProtection="1">
      <protection hidden="1"/>
    </xf>
    <xf numFmtId="2" fontId="86" fillId="61" borderId="7" xfId="11" applyNumberFormat="1" applyFont="1" applyFill="1" applyBorder="1" applyProtection="1">
      <protection hidden="1"/>
    </xf>
    <xf numFmtId="0" fontId="90" fillId="61" borderId="5" xfId="13" applyFont="1" applyFill="1" applyBorder="1" applyAlignment="1" applyProtection="1">
      <alignment horizontal="left" vertical="center"/>
      <protection hidden="1"/>
    </xf>
    <xf numFmtId="0" fontId="81" fillId="61" borderId="6" xfId="13" applyFont="1" applyFill="1" applyBorder="1" applyAlignment="1" applyProtection="1">
      <alignment horizontal="left" vertical="center"/>
      <protection hidden="1"/>
    </xf>
    <xf numFmtId="9" fontId="86" fillId="61" borderId="7" xfId="13" applyNumberFormat="1" applyFont="1" applyFill="1" applyBorder="1" applyAlignment="1" applyProtection="1">
      <alignment vertical="center"/>
      <protection hidden="1"/>
    </xf>
    <xf numFmtId="0" fontId="91" fillId="0" borderId="0" xfId="13" applyFont="1" applyProtection="1">
      <protection hidden="1"/>
    </xf>
    <xf numFmtId="0" fontId="91" fillId="0" borderId="0" xfId="13" applyFont="1" applyAlignment="1" applyProtection="1">
      <alignment horizontal="center"/>
      <protection hidden="1"/>
    </xf>
    <xf numFmtId="0" fontId="91" fillId="0" borderId="0" xfId="13" applyFont="1" applyAlignment="1" applyProtection="1">
      <alignment horizontal="right"/>
      <protection hidden="1"/>
    </xf>
    <xf numFmtId="169" fontId="91" fillId="0" borderId="0" xfId="3" applyFont="1" applyFill="1" applyBorder="1" applyAlignment="1" applyProtection="1">
      <alignment horizontal="center"/>
      <protection hidden="1"/>
    </xf>
    <xf numFmtId="175" fontId="91" fillId="0" borderId="0" xfId="3" applyNumberFormat="1" applyFont="1" applyFill="1" applyBorder="1" applyAlignment="1" applyProtection="1">
      <alignment horizontal="center"/>
      <protection hidden="1"/>
    </xf>
    <xf numFmtId="2" fontId="79" fillId="0" borderId="0" xfId="0" applyNumberFormat="1" applyFont="1"/>
    <xf numFmtId="175" fontId="92" fillId="0" borderId="0" xfId="0" applyNumberFormat="1" applyFont="1" applyAlignment="1">
      <alignment horizontal="center" vertical="center"/>
    </xf>
    <xf numFmtId="1" fontId="80" fillId="0" borderId="0" xfId="0" applyNumberFormat="1" applyFont="1" applyAlignment="1">
      <alignment horizontal="left"/>
    </xf>
    <xf numFmtId="2" fontId="93" fillId="0" borderId="0" xfId="13" applyNumberFormat="1" applyFont="1" applyAlignment="1" applyProtection="1">
      <alignment horizontal="right"/>
      <protection hidden="1"/>
    </xf>
    <xf numFmtId="2" fontId="93" fillId="0" borderId="0" xfId="13" applyNumberFormat="1" applyFont="1" applyAlignment="1" applyProtection="1">
      <alignment horizontal="center"/>
      <protection hidden="1"/>
    </xf>
    <xf numFmtId="0" fontId="69" fillId="0" borderId="0" xfId="0" applyFont="1" applyAlignment="1">
      <alignment vertical="top" wrapText="1"/>
    </xf>
    <xf numFmtId="175" fontId="75" fillId="0" borderId="0" xfId="0" applyNumberFormat="1" applyFont="1" applyAlignment="1">
      <alignment horizontal="center" vertical="center"/>
    </xf>
    <xf numFmtId="2" fontId="93" fillId="0" borderId="0" xfId="13" applyNumberFormat="1" applyFont="1" applyAlignment="1" applyProtection="1">
      <alignment horizontal="center" wrapText="1"/>
      <protection hidden="1"/>
    </xf>
    <xf numFmtId="0" fontId="69" fillId="0" borderId="0" xfId="0" applyFont="1" applyAlignment="1">
      <alignment horizontal="center" wrapText="1"/>
    </xf>
    <xf numFmtId="2" fontId="69" fillId="0" borderId="5" xfId="13" applyNumberFormat="1" applyFont="1" applyBorder="1" applyProtection="1">
      <protection hidden="1"/>
    </xf>
    <xf numFmtId="2" fontId="94" fillId="0" borderId="6" xfId="3" applyNumberFormat="1" applyFont="1" applyFill="1" applyBorder="1" applyAlignment="1" applyProtection="1">
      <alignment horizontal="center" vertical="center"/>
      <protection hidden="1"/>
    </xf>
    <xf numFmtId="2" fontId="94" fillId="0" borderId="7" xfId="3" applyNumberFormat="1" applyFont="1" applyFill="1" applyBorder="1" applyAlignment="1" applyProtection="1">
      <alignment horizontal="right" vertical="center"/>
      <protection hidden="1"/>
    </xf>
    <xf numFmtId="175" fontId="75" fillId="0" borderId="8" xfId="0" applyNumberFormat="1" applyFont="1" applyBorder="1" applyAlignment="1">
      <alignment horizontal="center" vertical="center"/>
    </xf>
    <xf numFmtId="1" fontId="74" fillId="0" borderId="1" xfId="13" applyNumberFormat="1" applyFont="1" applyBorder="1" applyAlignment="1" applyProtection="1">
      <alignment horizontal="center"/>
      <protection hidden="1"/>
    </xf>
    <xf numFmtId="2" fontId="95" fillId="0" borderId="6" xfId="3" applyNumberFormat="1" applyFont="1" applyFill="1" applyBorder="1" applyAlignment="1" applyProtection="1">
      <alignment horizontal="left" vertical="center"/>
      <protection hidden="1"/>
    </xf>
    <xf numFmtId="2" fontId="91" fillId="0" borderId="7" xfId="3" applyNumberFormat="1" applyFont="1" applyFill="1" applyBorder="1" applyAlignment="1" applyProtection="1">
      <alignment horizontal="right" vertical="center"/>
      <protection hidden="1"/>
    </xf>
    <xf numFmtId="175" fontId="75" fillId="0" borderId="10" xfId="0" applyNumberFormat="1" applyFont="1" applyBorder="1" applyAlignment="1">
      <alignment horizontal="center" vertical="center"/>
    </xf>
    <xf numFmtId="2" fontId="96" fillId="0" borderId="6" xfId="13" applyNumberFormat="1" applyFont="1" applyBorder="1" applyProtection="1">
      <protection hidden="1"/>
    </xf>
    <xf numFmtId="10" fontId="97" fillId="0" borderId="7" xfId="15" applyNumberFormat="1" applyFont="1" applyFill="1" applyBorder="1" applyAlignment="1" applyProtection="1">
      <alignment horizontal="right"/>
      <protection hidden="1"/>
    </xf>
    <xf numFmtId="0" fontId="69" fillId="0" borderId="5" xfId="13" applyFont="1" applyBorder="1" applyProtection="1">
      <protection hidden="1"/>
    </xf>
    <xf numFmtId="0" fontId="96" fillId="0" borderId="6" xfId="13" applyFont="1" applyBorder="1" applyProtection="1">
      <protection hidden="1"/>
    </xf>
    <xf numFmtId="0" fontId="96" fillId="0" borderId="7" xfId="13" applyFont="1" applyBorder="1" applyAlignment="1" applyProtection="1">
      <alignment horizontal="right"/>
      <protection hidden="1"/>
    </xf>
    <xf numFmtId="0" fontId="97" fillId="0" borderId="6" xfId="13" applyFont="1" applyBorder="1" applyAlignment="1" applyProtection="1">
      <alignment horizontal="right"/>
      <protection hidden="1"/>
    </xf>
    <xf numFmtId="0" fontId="97" fillId="0" borderId="7" xfId="13" applyFont="1" applyBorder="1" applyAlignment="1" applyProtection="1">
      <alignment horizontal="right"/>
      <protection hidden="1"/>
    </xf>
    <xf numFmtId="0" fontId="73" fillId="0" borderId="5" xfId="13" applyFont="1" applyBorder="1" applyProtection="1">
      <protection hidden="1"/>
    </xf>
    <xf numFmtId="10" fontId="97" fillId="0" borderId="6" xfId="13" applyNumberFormat="1" applyFont="1" applyBorder="1" applyAlignment="1" applyProtection="1">
      <alignment horizontal="right"/>
      <protection hidden="1"/>
    </xf>
    <xf numFmtId="0" fontId="96" fillId="0" borderId="6" xfId="13" applyFont="1" applyBorder="1" applyAlignment="1" applyProtection="1">
      <alignment horizontal="center"/>
      <protection hidden="1"/>
    </xf>
    <xf numFmtId="175" fontId="98" fillId="0" borderId="1" xfId="15" applyNumberFormat="1" applyFont="1" applyFill="1" applyBorder="1" applyAlignment="1" applyProtection="1">
      <alignment horizontal="center"/>
      <protection hidden="1"/>
    </xf>
    <xf numFmtId="0" fontId="99" fillId="0" borderId="5" xfId="13" applyFont="1" applyBorder="1" applyProtection="1">
      <protection hidden="1"/>
    </xf>
    <xf numFmtId="2" fontId="100" fillId="0" borderId="0" xfId="13" applyNumberFormat="1" applyFont="1" applyAlignment="1" applyProtection="1">
      <alignment horizontal="center"/>
      <protection hidden="1"/>
    </xf>
    <xf numFmtId="175" fontId="71" fillId="0" borderId="10" xfId="0" applyNumberFormat="1" applyFont="1" applyBorder="1" applyAlignment="1">
      <alignment horizontal="center" vertical="center"/>
    </xf>
    <xf numFmtId="175" fontId="96" fillId="0" borderId="7" xfId="15" applyNumberFormat="1" applyFont="1" applyFill="1" applyBorder="1" applyAlignment="1" applyProtection="1">
      <alignment horizontal="right"/>
      <protection hidden="1"/>
    </xf>
    <xf numFmtId="169" fontId="96" fillId="0" borderId="6" xfId="13" applyNumberFormat="1" applyFont="1" applyBorder="1" applyAlignment="1" applyProtection="1">
      <alignment horizontal="center"/>
      <protection hidden="1"/>
    </xf>
    <xf numFmtId="165" fontId="96" fillId="0" borderId="6" xfId="13" applyNumberFormat="1" applyFont="1" applyBorder="1" applyAlignment="1" applyProtection="1">
      <alignment horizontal="center"/>
      <protection hidden="1"/>
    </xf>
    <xf numFmtId="167" fontId="96" fillId="0" borderId="7" xfId="8" applyFont="1" applyFill="1" applyBorder="1" applyAlignment="1" applyProtection="1">
      <alignment horizontal="right"/>
      <protection hidden="1"/>
    </xf>
    <xf numFmtId="0" fontId="74" fillId="0" borderId="1" xfId="0" applyFont="1" applyBorder="1"/>
    <xf numFmtId="10" fontId="96" fillId="0" borderId="7" xfId="15" applyNumberFormat="1" applyFont="1" applyFill="1" applyBorder="1" applyAlignment="1" applyProtection="1">
      <alignment horizontal="right"/>
      <protection hidden="1"/>
    </xf>
    <xf numFmtId="175" fontId="69" fillId="0" borderId="10" xfId="0" applyNumberFormat="1" applyFont="1" applyBorder="1"/>
    <xf numFmtId="169" fontId="96" fillId="0" borderId="7" xfId="13" applyNumberFormat="1" applyFont="1" applyBorder="1" applyAlignment="1" applyProtection="1">
      <alignment horizontal="right"/>
      <protection hidden="1"/>
    </xf>
    <xf numFmtId="0" fontId="101" fillId="0" borderId="0" xfId="0" applyFont="1"/>
    <xf numFmtId="0" fontId="101" fillId="0" borderId="8" xfId="0" applyFont="1" applyBorder="1" applyAlignment="1">
      <alignment horizontal="right"/>
    </xf>
    <xf numFmtId="175" fontId="69" fillId="0" borderId="0" xfId="0" applyNumberFormat="1" applyFont="1"/>
    <xf numFmtId="166" fontId="74" fillId="0" borderId="1" xfId="17" applyFont="1" applyBorder="1"/>
    <xf numFmtId="0" fontId="77" fillId="0" borderId="5" xfId="13" applyFont="1" applyBorder="1" applyProtection="1">
      <protection hidden="1"/>
    </xf>
    <xf numFmtId="169" fontId="97" fillId="0" borderId="6" xfId="13" applyNumberFormat="1" applyFont="1" applyBorder="1" applyProtection="1">
      <protection hidden="1"/>
    </xf>
    <xf numFmtId="169" fontId="97" fillId="0" borderId="7" xfId="13" applyNumberFormat="1" applyFont="1" applyBorder="1" applyAlignment="1" applyProtection="1">
      <alignment horizontal="right"/>
      <protection hidden="1"/>
    </xf>
    <xf numFmtId="179" fontId="71" fillId="0" borderId="0" xfId="0" applyNumberFormat="1" applyFont="1"/>
    <xf numFmtId="0" fontId="97" fillId="0" borderId="0" xfId="0" applyFont="1"/>
    <xf numFmtId="0" fontId="97" fillId="0" borderId="10" xfId="0" applyFont="1" applyBorder="1" applyAlignment="1">
      <alignment horizontal="right"/>
    </xf>
    <xf numFmtId="0" fontId="97" fillId="0" borderId="0" xfId="0" applyFont="1" applyAlignment="1">
      <alignment horizontal="right"/>
    </xf>
    <xf numFmtId="175" fontId="71" fillId="0" borderId="0" xfId="0" applyNumberFormat="1" applyFont="1"/>
    <xf numFmtId="0" fontId="71" fillId="0" borderId="0" xfId="0" applyFont="1" applyAlignment="1">
      <alignment horizontal="right"/>
    </xf>
    <xf numFmtId="2" fontId="83" fillId="0" borderId="0" xfId="0" applyNumberFormat="1" applyFont="1"/>
    <xf numFmtId="2" fontId="84" fillId="0" borderId="0" xfId="0" applyNumberFormat="1" applyFont="1"/>
    <xf numFmtId="0" fontId="102" fillId="0" borderId="0" xfId="13" applyFont="1" applyAlignment="1" applyProtection="1">
      <alignment horizontal="right"/>
      <protection hidden="1"/>
    </xf>
    <xf numFmtId="1" fontId="84" fillId="0" borderId="0" xfId="0" applyNumberFormat="1" applyFont="1" applyAlignment="1">
      <alignment horizontal="left"/>
    </xf>
    <xf numFmtId="2" fontId="102" fillId="0" borderId="0" xfId="13" applyNumberFormat="1" applyFont="1" applyAlignment="1" applyProtection="1">
      <alignment horizontal="right"/>
      <protection hidden="1"/>
    </xf>
    <xf numFmtId="2" fontId="81" fillId="61" borderId="5" xfId="13" applyNumberFormat="1" applyFont="1" applyFill="1" applyBorder="1" applyAlignment="1" applyProtection="1">
      <alignment horizontal="left" vertical="center" wrapText="1"/>
      <protection hidden="1"/>
    </xf>
    <xf numFmtId="2" fontId="104" fillId="61" borderId="6" xfId="13" applyNumberFormat="1" applyFont="1" applyFill="1" applyBorder="1" applyAlignment="1" applyProtection="1">
      <alignment horizontal="center" wrapText="1"/>
      <protection hidden="1"/>
    </xf>
    <xf numFmtId="2" fontId="104" fillId="61" borderId="7" xfId="13" applyNumberFormat="1" applyFont="1" applyFill="1" applyBorder="1" applyAlignment="1" applyProtection="1">
      <alignment horizontal="right" wrapText="1"/>
      <protection hidden="1"/>
    </xf>
    <xf numFmtId="2" fontId="104" fillId="61" borderId="5" xfId="13" applyNumberFormat="1" applyFont="1" applyFill="1" applyBorder="1" applyAlignment="1" applyProtection="1">
      <alignment horizontal="left" vertical="center" wrapText="1"/>
      <protection hidden="1"/>
    </xf>
    <xf numFmtId="0" fontId="106" fillId="0" borderId="6" xfId="13" applyFont="1" applyBorder="1" applyAlignment="1" applyProtection="1">
      <alignment horizontal="center"/>
      <protection hidden="1"/>
    </xf>
    <xf numFmtId="9" fontId="74" fillId="61" borderId="1" xfId="64" applyFont="1" applyFill="1" applyBorder="1" applyAlignment="1">
      <alignment horizontal="center"/>
    </xf>
    <xf numFmtId="169" fontId="106" fillId="0" borderId="6" xfId="13" applyNumberFormat="1" applyFont="1" applyBorder="1" applyProtection="1">
      <protection hidden="1"/>
    </xf>
    <xf numFmtId="0" fontId="72" fillId="0" borderId="0" xfId="0" applyFont="1"/>
    <xf numFmtId="0" fontId="72" fillId="0" borderId="0" xfId="0" applyFont="1" applyAlignment="1">
      <alignment wrapText="1"/>
    </xf>
    <xf numFmtId="0" fontId="69" fillId="0" borderId="1" xfId="0" applyFont="1" applyBorder="1" applyAlignment="1">
      <alignment horizontal="center"/>
    </xf>
    <xf numFmtId="166" fontId="69" fillId="0" borderId="1" xfId="17" applyFont="1" applyBorder="1"/>
    <xf numFmtId="0" fontId="74" fillId="0" borderId="6" xfId="0" applyFont="1" applyBorder="1"/>
    <xf numFmtId="0" fontId="82" fillId="61" borderId="1" xfId="58" applyFont="1" applyFill="1" applyBorder="1" applyAlignment="1">
      <alignment horizontal="left" vertical="top" wrapText="1"/>
    </xf>
    <xf numFmtId="0" fontId="101" fillId="0" borderId="0" xfId="10" applyFont="1"/>
    <xf numFmtId="179" fontId="101" fillId="0" borderId="0" xfId="10" applyNumberFormat="1" applyFont="1"/>
    <xf numFmtId="2" fontId="101" fillId="0" borderId="0" xfId="10" applyNumberFormat="1" applyFont="1"/>
    <xf numFmtId="2" fontId="79" fillId="0" borderId="0" xfId="10" applyNumberFormat="1" applyFont="1" applyAlignment="1">
      <alignment vertical="center"/>
    </xf>
    <xf numFmtId="2" fontId="79" fillId="0" borderId="0" xfId="10" applyNumberFormat="1" applyFont="1" applyAlignment="1">
      <alignment horizontal="right" vertical="center"/>
    </xf>
    <xf numFmtId="2" fontId="80" fillId="0" borderId="0" xfId="10" applyNumberFormat="1" applyFont="1" applyAlignment="1">
      <alignment vertical="center"/>
    </xf>
    <xf numFmtId="0" fontId="69" fillId="0" borderId="1" xfId="10" applyFont="1" applyBorder="1"/>
    <xf numFmtId="0" fontId="69" fillId="0" borderId="0" xfId="10" applyFont="1"/>
    <xf numFmtId="0" fontId="69" fillId="0" borderId="6" xfId="10" applyFont="1" applyBorder="1"/>
    <xf numFmtId="0" fontId="69" fillId="0" borderId="2" xfId="10" applyFont="1" applyBorder="1"/>
    <xf numFmtId="0" fontId="69" fillId="0" borderId="0" xfId="0" applyFont="1" applyAlignment="1">
      <alignment horizontal="left" vertical="center" indent="6"/>
    </xf>
    <xf numFmtId="0" fontId="69" fillId="0" borderId="5" xfId="9" applyFont="1" applyBorder="1" applyAlignment="1" applyProtection="1">
      <alignment horizontal="left"/>
      <protection hidden="1"/>
    </xf>
    <xf numFmtId="0" fontId="69" fillId="0" borderId="7" xfId="9" applyFont="1" applyBorder="1" applyAlignment="1" applyProtection="1">
      <alignment horizontal="left"/>
      <protection hidden="1"/>
    </xf>
    <xf numFmtId="0" fontId="69" fillId="0" borderId="1" xfId="9" applyFont="1" applyBorder="1" applyAlignment="1" applyProtection="1">
      <alignment horizontal="left"/>
      <protection hidden="1"/>
    </xf>
    <xf numFmtId="0" fontId="69" fillId="0" borderId="1" xfId="9" applyFont="1" applyBorder="1" applyAlignment="1" applyProtection="1">
      <alignment horizontal="center"/>
      <protection hidden="1"/>
    </xf>
    <xf numFmtId="0" fontId="74" fillId="0" borderId="0" xfId="9" applyFont="1" applyAlignment="1" applyProtection="1">
      <alignment horizontal="left" vertical="center"/>
      <protection hidden="1"/>
    </xf>
    <xf numFmtId="0" fontId="69" fillId="0" borderId="6" xfId="9" applyFont="1" applyBorder="1" applyAlignment="1" applyProtection="1">
      <alignment horizontal="left" vertical="top"/>
      <protection hidden="1"/>
    </xf>
    <xf numFmtId="0" fontId="69" fillId="0" borderId="7" xfId="9" applyFont="1" applyBorder="1" applyAlignment="1" applyProtection="1">
      <alignment horizontal="center" vertical="top"/>
      <protection hidden="1"/>
    </xf>
    <xf numFmtId="0" fontId="69" fillId="0" borderId="0" xfId="9" applyFont="1" applyAlignment="1" applyProtection="1">
      <alignment horizontal="center"/>
      <protection hidden="1"/>
    </xf>
    <xf numFmtId="0" fontId="69" fillId="0" borderId="0" xfId="9" applyFont="1" applyAlignment="1" applyProtection="1">
      <alignment horizontal="left"/>
      <protection hidden="1"/>
    </xf>
    <xf numFmtId="0" fontId="69" fillId="0" borderId="1" xfId="9" applyFont="1" applyBorder="1" applyAlignment="1" applyProtection="1">
      <alignment horizontal="left" vertical="center"/>
      <protection hidden="1"/>
    </xf>
    <xf numFmtId="0" fontId="69" fillId="0" borderId="5" xfId="9" applyFont="1" applyBorder="1" applyAlignment="1" applyProtection="1">
      <alignment horizontal="left" vertical="center"/>
      <protection hidden="1"/>
    </xf>
    <xf numFmtId="0" fontId="69" fillId="0" borderId="1" xfId="9" applyFont="1" applyBorder="1" applyAlignment="1" applyProtection="1">
      <alignment horizontal="left" wrapText="1"/>
      <protection hidden="1"/>
    </xf>
    <xf numFmtId="0" fontId="69" fillId="0" borderId="7" xfId="9" applyFont="1" applyBorder="1" applyAlignment="1" applyProtection="1">
      <alignment horizontal="left" wrapText="1"/>
      <protection hidden="1"/>
    </xf>
    <xf numFmtId="0" fontId="69" fillId="0" borderId="1" xfId="9" applyFont="1" applyBorder="1" applyAlignment="1" applyProtection="1">
      <alignment horizontal="right"/>
      <protection hidden="1"/>
    </xf>
    <xf numFmtId="0" fontId="69" fillId="0" borderId="1" xfId="9" applyFont="1" applyBorder="1" applyAlignment="1" applyProtection="1">
      <alignment horizontal="center" wrapText="1"/>
      <protection hidden="1"/>
    </xf>
    <xf numFmtId="0" fontId="103" fillId="0" borderId="0" xfId="9" applyFont="1" applyAlignment="1" applyProtection="1">
      <alignment horizontal="left" vertical="center"/>
      <protection hidden="1"/>
    </xf>
    <xf numFmtId="0" fontId="81" fillId="61" borderId="5" xfId="9" applyFont="1" applyFill="1" applyBorder="1" applyAlignment="1" applyProtection="1">
      <alignment horizontal="left" vertical="center"/>
      <protection hidden="1"/>
    </xf>
    <xf numFmtId="0" fontId="86" fillId="61" borderId="6" xfId="10" applyFont="1" applyFill="1" applyBorder="1"/>
    <xf numFmtId="0" fontId="105" fillId="61" borderId="6" xfId="10" applyFont="1" applyFill="1" applyBorder="1"/>
    <xf numFmtId="0" fontId="105" fillId="61" borderId="7" xfId="10" applyFont="1" applyFill="1" applyBorder="1"/>
    <xf numFmtId="0" fontId="86" fillId="61" borderId="7" xfId="10" applyFont="1" applyFill="1" applyBorder="1"/>
    <xf numFmtId="0" fontId="81" fillId="61" borderId="5" xfId="9" applyFont="1" applyFill="1" applyBorder="1" applyAlignment="1" applyProtection="1">
      <alignment vertical="center"/>
      <protection hidden="1"/>
    </xf>
    <xf numFmtId="0" fontId="71" fillId="0" borderId="0" xfId="13" applyFont="1" applyAlignment="1" applyProtection="1">
      <alignment horizontal="center"/>
      <protection hidden="1"/>
    </xf>
    <xf numFmtId="173" fontId="69" fillId="0" borderId="0" xfId="8" applyNumberFormat="1" applyFont="1" applyFill="1" applyAlignment="1" applyProtection="1">
      <protection hidden="1"/>
    </xf>
    <xf numFmtId="0" fontId="69" fillId="0" borderId="0" xfId="83" applyFont="1"/>
    <xf numFmtId="0" fontId="70" fillId="0" borderId="0" xfId="13" applyFont="1" applyProtection="1">
      <protection hidden="1"/>
    </xf>
    <xf numFmtId="0" fontId="69" fillId="0" borderId="1" xfId="102" applyFont="1" applyBorder="1" applyAlignment="1">
      <alignment vertical="top" wrapText="1"/>
    </xf>
    <xf numFmtId="175" fontId="70" fillId="0" borderId="0" xfId="3" applyNumberFormat="1" applyFont="1" applyFill="1" applyBorder="1" applyAlignment="1" applyProtection="1">
      <alignment horizontal="center"/>
      <protection hidden="1"/>
    </xf>
    <xf numFmtId="169" fontId="70" fillId="0" borderId="0" xfId="3" applyFont="1" applyFill="1" applyBorder="1" applyAlignment="1" applyProtection="1">
      <alignment horizontal="center"/>
      <protection hidden="1"/>
    </xf>
    <xf numFmtId="0" fontId="70" fillId="0" borderId="0" xfId="13" applyFont="1" applyAlignment="1" applyProtection="1">
      <alignment horizontal="center"/>
      <protection hidden="1"/>
    </xf>
    <xf numFmtId="0" fontId="69" fillId="0" borderId="0" xfId="83" applyFont="1" applyAlignment="1">
      <alignment horizontal="center" vertical="center"/>
    </xf>
    <xf numFmtId="175" fontId="69" fillId="0" borderId="0" xfId="83" applyNumberFormat="1" applyFont="1" applyAlignment="1">
      <alignment horizontal="center" vertical="center"/>
    </xf>
    <xf numFmtId="0" fontId="69" fillId="0" borderId="0" xfId="102" applyFont="1"/>
    <xf numFmtId="2" fontId="69" fillId="0" borderId="1" xfId="83" applyNumberFormat="1" applyFont="1" applyBorder="1"/>
    <xf numFmtId="44" fontId="69" fillId="0" borderId="1" xfId="65" applyFont="1" applyBorder="1" applyAlignment="1">
      <alignment vertical="top" wrapText="1"/>
    </xf>
    <xf numFmtId="49" fontId="69" fillId="0" borderId="1" xfId="102" applyNumberFormat="1" applyFont="1" applyBorder="1" applyAlignment="1">
      <alignment horizontal="center" vertical="top" wrapText="1"/>
    </xf>
    <xf numFmtId="0" fontId="69" fillId="0" borderId="1" xfId="83" applyFont="1" applyBorder="1"/>
    <xf numFmtId="0" fontId="69" fillId="0" borderId="1" xfId="102" applyFont="1" applyBorder="1" applyAlignment="1">
      <alignment vertical="top"/>
    </xf>
    <xf numFmtId="0" fontId="69" fillId="0" borderId="0" xfId="102" applyFont="1" applyAlignment="1">
      <alignment horizontal="center"/>
    </xf>
    <xf numFmtId="173" fontId="69" fillId="0" borderId="0" xfId="8" applyNumberFormat="1" applyFont="1"/>
    <xf numFmtId="167" fontId="69" fillId="0" borderId="0" xfId="104" applyFont="1"/>
    <xf numFmtId="173" fontId="82" fillId="61" borderId="4" xfId="8" applyNumberFormat="1" applyFont="1" applyFill="1" applyBorder="1" applyAlignment="1">
      <alignment vertical="top" wrapText="1"/>
    </xf>
    <xf numFmtId="0" fontId="74" fillId="0" borderId="5" xfId="13" applyFont="1" applyBorder="1" applyAlignment="1" applyProtection="1">
      <alignment vertical="center"/>
      <protection hidden="1"/>
    </xf>
    <xf numFmtId="10" fontId="74" fillId="0" borderId="1" xfId="15" applyNumberFormat="1" applyFont="1" applyFill="1" applyBorder="1" applyAlignment="1"/>
    <xf numFmtId="0" fontId="74" fillId="0" borderId="1" xfId="13" applyFont="1" applyBorder="1" applyAlignment="1" applyProtection="1">
      <alignment vertical="center"/>
      <protection hidden="1"/>
    </xf>
    <xf numFmtId="2" fontId="74" fillId="0" borderId="1" xfId="13" applyNumberFormat="1" applyFont="1" applyBorder="1" applyAlignment="1" applyProtection="1">
      <alignment vertical="center"/>
      <protection hidden="1"/>
    </xf>
    <xf numFmtId="10" fontId="74" fillId="0" borderId="1" xfId="15" applyNumberFormat="1" applyFont="1" applyFill="1" applyBorder="1" applyAlignment="1" applyProtection="1">
      <alignment vertical="center"/>
      <protection hidden="1"/>
    </xf>
    <xf numFmtId="0" fontId="74" fillId="0" borderId="5" xfId="13" applyFont="1" applyBorder="1" applyProtection="1">
      <protection hidden="1"/>
    </xf>
    <xf numFmtId="0" fontId="101" fillId="0" borderId="6" xfId="13" applyFont="1" applyBorder="1" applyProtection="1">
      <protection hidden="1"/>
    </xf>
    <xf numFmtId="0" fontId="101" fillId="0" borderId="7" xfId="13" applyFont="1" applyBorder="1" applyAlignment="1" applyProtection="1">
      <alignment horizontal="right"/>
      <protection hidden="1"/>
    </xf>
    <xf numFmtId="2" fontId="102" fillId="0" borderId="0" xfId="13" applyNumberFormat="1" applyFont="1" applyAlignment="1" applyProtection="1">
      <alignment horizontal="center"/>
      <protection hidden="1"/>
    </xf>
    <xf numFmtId="179" fontId="74" fillId="0" borderId="9" xfId="5" applyNumberFormat="1" applyFont="1" applyFill="1" applyBorder="1" applyAlignment="1" applyProtection="1">
      <protection hidden="1"/>
    </xf>
    <xf numFmtId="169" fontId="101" fillId="0" borderId="6" xfId="13" applyNumberFormat="1" applyFont="1" applyBorder="1" applyProtection="1">
      <protection hidden="1"/>
    </xf>
    <xf numFmtId="175" fontId="69" fillId="0" borderId="11" xfId="0" applyNumberFormat="1" applyFont="1" applyBorder="1" applyAlignment="1">
      <alignment horizontal="center" vertical="center"/>
    </xf>
    <xf numFmtId="0" fontId="71" fillId="0" borderId="5" xfId="13" applyFont="1" applyBorder="1" applyProtection="1">
      <protection hidden="1"/>
    </xf>
    <xf numFmtId="175" fontId="69" fillId="0" borderId="10" xfId="0" applyNumberFormat="1" applyFont="1" applyBorder="1" applyAlignment="1">
      <alignment horizontal="center" vertical="center"/>
    </xf>
    <xf numFmtId="0" fontId="82" fillId="61" borderId="1" xfId="13"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82" fillId="61" borderId="1" xfId="0" applyFont="1" applyFill="1" applyBorder="1" applyAlignment="1">
      <alignment horizontal="left" vertical="center" wrapText="1"/>
    </xf>
    <xf numFmtId="173" fontId="69" fillId="0" borderId="1" xfId="8" applyNumberFormat="1" applyFont="1" applyFill="1" applyBorder="1" applyAlignment="1">
      <alignment horizontal="center" vertical="center"/>
    </xf>
    <xf numFmtId="0" fontId="74" fillId="0" borderId="1" xfId="0" applyFont="1" applyBorder="1" applyAlignment="1">
      <alignment vertical="center"/>
    </xf>
    <xf numFmtId="0" fontId="74" fillId="0" borderId="1" xfId="0" applyFont="1" applyBorder="1" applyAlignment="1">
      <alignment horizontal="center" vertical="center"/>
    </xf>
    <xf numFmtId="173" fontId="74" fillId="0" borderId="1" xfId="8" applyNumberFormat="1" applyFont="1" applyFill="1" applyBorder="1" applyAlignment="1">
      <alignment horizontal="center" vertical="center"/>
    </xf>
    <xf numFmtId="1" fontId="78" fillId="0" borderId="5" xfId="0" applyNumberFormat="1" applyFont="1" applyBorder="1" applyAlignment="1">
      <alignment horizontal="left" vertical="center"/>
    </xf>
    <xf numFmtId="1" fontId="78" fillId="0" borderId="6" xfId="0" applyNumberFormat="1" applyFont="1" applyBorder="1" applyAlignment="1">
      <alignment horizontal="left" vertical="center"/>
    </xf>
    <xf numFmtId="2" fontId="107" fillId="0" borderId="0" xfId="12" applyNumberFormat="1" applyFont="1"/>
    <xf numFmtId="49" fontId="88" fillId="63" borderId="1" xfId="9" applyNumberFormat="1" applyFont="1" applyFill="1" applyBorder="1" applyAlignment="1" applyProtection="1">
      <alignment horizontal="left" vertical="top"/>
      <protection hidden="1"/>
    </xf>
    <xf numFmtId="9" fontId="88" fillId="62" borderId="1" xfId="60" applyNumberFormat="1" applyFont="1" applyFill="1" applyBorder="1" applyAlignment="1">
      <alignment horizontal="center" vertical="center"/>
    </xf>
    <xf numFmtId="49" fontId="88" fillId="63" borderId="1" xfId="61" applyNumberFormat="1" applyFont="1" applyFill="1" applyBorder="1" applyAlignment="1" applyProtection="1">
      <alignment horizontal="left" vertical="top"/>
      <protection hidden="1"/>
    </xf>
    <xf numFmtId="2" fontId="89" fillId="61" borderId="4" xfId="0" applyNumberFormat="1" applyFont="1" applyFill="1" applyBorder="1" applyAlignment="1">
      <alignment horizontal="center" vertical="top" wrapText="1"/>
    </xf>
    <xf numFmtId="0" fontId="71" fillId="62" borderId="1" xfId="13" applyFont="1" applyFill="1" applyBorder="1" applyProtection="1">
      <protection hidden="1"/>
    </xf>
    <xf numFmtId="177" fontId="69" fillId="62" borderId="1" xfId="11" applyNumberFormat="1" applyFont="1" applyFill="1" applyBorder="1" applyAlignment="1" applyProtection="1">
      <alignment vertical="center"/>
      <protection hidden="1"/>
    </xf>
    <xf numFmtId="166" fontId="73" fillId="62" borderId="1" xfId="17" applyFont="1" applyFill="1" applyBorder="1" applyAlignment="1" applyProtection="1">
      <alignment horizontal="right" vertical="center"/>
      <protection hidden="1"/>
    </xf>
    <xf numFmtId="10" fontId="69" fillId="62" borderId="1" xfId="11" applyNumberFormat="1" applyFont="1" applyFill="1" applyBorder="1" applyAlignment="1" applyProtection="1">
      <alignment vertical="center"/>
      <protection hidden="1"/>
    </xf>
    <xf numFmtId="2" fontId="73" fillId="62" borderId="1" xfId="13" applyNumberFormat="1" applyFont="1" applyFill="1" applyBorder="1" applyAlignment="1" applyProtection="1">
      <alignment horizontal="right" vertical="center"/>
      <protection hidden="1"/>
    </xf>
    <xf numFmtId="10" fontId="96" fillId="62" borderId="1" xfId="15" applyNumberFormat="1" applyFont="1" applyFill="1" applyBorder="1" applyAlignment="1" applyProtection="1">
      <alignment horizontal="right"/>
      <protection hidden="1"/>
    </xf>
    <xf numFmtId="0" fontId="69" fillId="62" borderId="5" xfId="13" applyFont="1" applyFill="1" applyBorder="1" applyProtection="1">
      <protection hidden="1"/>
    </xf>
    <xf numFmtId="9" fontId="73" fillId="62" borderId="1" xfId="15" applyFont="1" applyFill="1" applyBorder="1" applyAlignment="1" applyProtection="1">
      <alignment horizontal="center"/>
      <protection hidden="1"/>
    </xf>
    <xf numFmtId="0" fontId="71" fillId="62" borderId="1" xfId="10" applyFont="1" applyFill="1" applyBorder="1"/>
    <xf numFmtId="3" fontId="73" fillId="62" borderId="1" xfId="61" applyNumberFormat="1" applyFont="1" applyFill="1" applyBorder="1" applyAlignment="1" applyProtection="1">
      <alignment horizontal="center"/>
      <protection hidden="1"/>
    </xf>
    <xf numFmtId="44" fontId="69" fillId="63" borderId="1" xfId="65" applyFont="1" applyFill="1" applyBorder="1" applyAlignment="1" applyProtection="1">
      <protection locked="0"/>
    </xf>
    <xf numFmtId="0" fontId="69" fillId="62" borderId="1" xfId="10" applyFont="1" applyFill="1" applyBorder="1"/>
    <xf numFmtId="0" fontId="69" fillId="62" borderId="2" xfId="10" applyFont="1" applyFill="1" applyBorder="1"/>
    <xf numFmtId="179" fontId="101" fillId="62" borderId="1" xfId="10" applyNumberFormat="1" applyFont="1" applyFill="1" applyBorder="1"/>
    <xf numFmtId="0" fontId="69" fillId="62" borderId="6" xfId="10" applyFont="1" applyFill="1" applyBorder="1"/>
    <xf numFmtId="0" fontId="69" fillId="62" borderId="5" xfId="10" applyFont="1" applyFill="1" applyBorder="1"/>
    <xf numFmtId="167" fontId="74" fillId="0" borderId="1" xfId="8" applyFont="1" applyBorder="1"/>
    <xf numFmtId="167" fontId="69" fillId="2" borderId="1" xfId="8" applyFont="1" applyFill="1" applyBorder="1" applyAlignment="1">
      <alignment horizontal="center"/>
    </xf>
    <xf numFmtId="166" fontId="69" fillId="2" borderId="1" xfId="17" applyFont="1" applyFill="1" applyBorder="1" applyAlignment="1">
      <alignment horizontal="center"/>
    </xf>
    <xf numFmtId="3" fontId="69" fillId="0" borderId="1" xfId="8" applyNumberFormat="1" applyFont="1" applyFill="1" applyBorder="1" applyAlignment="1">
      <alignment horizontal="center" vertical="top" wrapText="1"/>
    </xf>
    <xf numFmtId="2" fontId="74" fillId="2" borderId="5" xfId="83" applyNumberFormat="1" applyFont="1" applyFill="1" applyBorder="1" applyAlignment="1">
      <alignment vertical="top" wrapText="1"/>
    </xf>
    <xf numFmtId="2" fontId="74" fillId="2" borderId="7" xfId="83" applyNumberFormat="1" applyFont="1" applyFill="1" applyBorder="1" applyAlignment="1">
      <alignment vertical="top" wrapText="1"/>
    </xf>
    <xf numFmtId="3" fontId="74" fillId="2" borderId="6" xfId="8" applyNumberFormat="1" applyFont="1" applyFill="1" applyBorder="1" applyAlignment="1">
      <alignment horizontal="center" vertical="top" wrapText="1"/>
    </xf>
    <xf numFmtId="180" fontId="74" fillId="2" borderId="7" xfId="83" applyNumberFormat="1" applyFont="1" applyFill="1" applyBorder="1" applyAlignment="1">
      <alignment vertical="top" wrapText="1"/>
    </xf>
    <xf numFmtId="180" fontId="74" fillId="2" borderId="5" xfId="83" applyNumberFormat="1" applyFont="1" applyFill="1" applyBorder="1" applyAlignment="1">
      <alignment vertical="top" wrapText="1"/>
    </xf>
    <xf numFmtId="2" fontId="74" fillId="2" borderId="6" xfId="83" applyNumberFormat="1" applyFont="1" applyFill="1" applyBorder="1" applyAlignment="1">
      <alignment vertical="top" wrapText="1"/>
    </xf>
    <xf numFmtId="2" fontId="69" fillId="0" borderId="0" xfId="13" applyNumberFormat="1" applyFont="1" applyProtection="1">
      <protection hidden="1"/>
    </xf>
    <xf numFmtId="166" fontId="69" fillId="0" borderId="0" xfId="17" applyFont="1" applyFill="1" applyBorder="1" applyAlignment="1" applyProtection="1">
      <protection hidden="1"/>
    </xf>
    <xf numFmtId="2" fontId="69" fillId="0" borderId="5" xfId="13" applyNumberFormat="1" applyFont="1" applyBorder="1" applyAlignment="1" applyProtection="1">
      <alignment vertical="center"/>
      <protection hidden="1"/>
    </xf>
    <xf numFmtId="9" fontId="74" fillId="0" borderId="1" xfId="0" applyNumberFormat="1" applyFont="1" applyBorder="1" applyAlignment="1">
      <alignment horizontal="center"/>
    </xf>
    <xf numFmtId="9" fontId="74" fillId="0" borderId="1" xfId="15" applyFont="1" applyBorder="1" applyAlignment="1">
      <alignment horizontal="center"/>
    </xf>
    <xf numFmtId="166" fontId="69" fillId="0" borderId="1" xfId="17" applyFont="1" applyBorder="1" applyAlignment="1">
      <alignment horizontal="center" vertical="top" wrapText="1"/>
    </xf>
    <xf numFmtId="2" fontId="82" fillId="61" borderId="4" xfId="83" applyNumberFormat="1" applyFont="1" applyFill="1" applyBorder="1" applyAlignment="1">
      <alignment horizontal="left" vertical="top" wrapText="1"/>
    </xf>
    <xf numFmtId="2" fontId="82" fillId="61" borderId="4" xfId="83" applyNumberFormat="1" applyFont="1" applyFill="1" applyBorder="1" applyAlignment="1">
      <alignment vertical="top" wrapText="1"/>
    </xf>
    <xf numFmtId="0" fontId="74" fillId="0" borderId="0" xfId="102" applyFont="1"/>
    <xf numFmtId="0" fontId="72" fillId="0" borderId="41" xfId="0" applyFont="1" applyBorder="1"/>
    <xf numFmtId="2" fontId="104" fillId="61" borderId="42" xfId="13" applyNumberFormat="1" applyFont="1" applyFill="1" applyBorder="1" applyAlignment="1" applyProtection="1">
      <alignment horizontal="left" vertical="center" wrapText="1"/>
      <protection hidden="1"/>
    </xf>
    <xf numFmtId="2" fontId="69" fillId="0" borderId="42" xfId="13" applyNumberFormat="1" applyFont="1" applyBorder="1" applyProtection="1">
      <protection hidden="1"/>
    </xf>
    <xf numFmtId="1" fontId="74" fillId="0" borderId="43" xfId="13" applyNumberFormat="1" applyFont="1" applyBorder="1" applyAlignment="1" applyProtection="1">
      <alignment horizontal="center"/>
      <protection hidden="1"/>
    </xf>
    <xf numFmtId="166" fontId="69" fillId="0" borderId="42" xfId="17" applyFont="1" applyFill="1" applyBorder="1" applyAlignment="1" applyProtection="1">
      <protection hidden="1"/>
    </xf>
    <xf numFmtId="166" fontId="69" fillId="0" borderId="43" xfId="17" applyFont="1" applyFill="1" applyBorder="1" applyAlignment="1" applyProtection="1">
      <protection hidden="1"/>
    </xf>
    <xf numFmtId="0" fontId="74" fillId="0" borderId="43" xfId="0" applyFont="1" applyBorder="1"/>
    <xf numFmtId="166" fontId="74" fillId="0" borderId="43" xfId="17" applyFont="1" applyBorder="1"/>
    <xf numFmtId="2" fontId="89" fillId="61" borderId="38" xfId="0" applyNumberFormat="1" applyFont="1" applyFill="1" applyBorder="1" applyAlignment="1">
      <alignment horizontal="center" vertical="top" wrapText="1"/>
    </xf>
    <xf numFmtId="173" fontId="74" fillId="0" borderId="1" xfId="8" applyNumberFormat="1" applyFont="1" applyFill="1" applyBorder="1" applyAlignment="1">
      <alignment horizontal="center"/>
    </xf>
    <xf numFmtId="0" fontId="69" fillId="2" borderId="1" xfId="0" applyFont="1" applyFill="1" applyBorder="1" applyAlignment="1">
      <alignment vertical="center"/>
    </xf>
    <xf numFmtId="2" fontId="82" fillId="61" borderId="1" xfId="88" applyNumberFormat="1" applyFont="1" applyFill="1" applyBorder="1" applyAlignment="1">
      <alignment vertical="top" wrapText="1"/>
    </xf>
    <xf numFmtId="173" fontId="82" fillId="61" borderId="1" xfId="8" applyNumberFormat="1" applyFont="1" applyFill="1" applyBorder="1" applyAlignment="1">
      <alignment vertical="top" wrapText="1"/>
    </xf>
    <xf numFmtId="167" fontId="82" fillId="61" borderId="1" xfId="8" applyFont="1" applyFill="1" applyBorder="1" applyAlignment="1">
      <alignment horizontal="center" vertical="top" wrapText="1"/>
    </xf>
    <xf numFmtId="0" fontId="89" fillId="0" borderId="0" xfId="13" applyFont="1" applyProtection="1">
      <protection hidden="1"/>
    </xf>
    <xf numFmtId="0" fontId="96" fillId="2" borderId="6" xfId="13" applyFont="1" applyFill="1" applyBorder="1" applyProtection="1">
      <protection hidden="1"/>
    </xf>
    <xf numFmtId="0" fontId="96" fillId="62" borderId="6" xfId="13" applyFont="1" applyFill="1" applyBorder="1" applyAlignment="1" applyProtection="1">
      <alignment horizontal="center"/>
      <protection hidden="1"/>
    </xf>
    <xf numFmtId="0" fontId="96" fillId="62" borderId="7" xfId="13" applyFont="1" applyFill="1" applyBorder="1" applyAlignment="1" applyProtection="1">
      <alignment horizontal="right"/>
      <protection hidden="1"/>
    </xf>
    <xf numFmtId="10" fontId="96" fillId="62" borderId="7" xfId="15" applyNumberFormat="1" applyFont="1" applyFill="1" applyBorder="1" applyAlignment="1" applyProtection="1">
      <alignment horizontal="right"/>
      <protection hidden="1"/>
    </xf>
    <xf numFmtId="0" fontId="89" fillId="0" borderId="0" xfId="13" applyFont="1" applyAlignment="1" applyProtection="1">
      <alignment horizontal="right" vertical="center"/>
      <protection hidden="1"/>
    </xf>
    <xf numFmtId="2" fontId="89" fillId="0" borderId="0" xfId="13" applyNumberFormat="1" applyFont="1" applyAlignment="1" applyProtection="1">
      <alignment vertical="center"/>
      <protection hidden="1"/>
    </xf>
    <xf numFmtId="0" fontId="89" fillId="0" borderId="0" xfId="13" applyFont="1" applyAlignment="1" applyProtection="1">
      <alignment vertical="center"/>
      <protection hidden="1"/>
    </xf>
    <xf numFmtId="0" fontId="89" fillId="0" borderId="0" xfId="0" applyFont="1"/>
    <xf numFmtId="0" fontId="69" fillId="0" borderId="41" xfId="0" applyFont="1" applyBorder="1" applyAlignment="1">
      <alignment horizontal="left"/>
    </xf>
    <xf numFmtId="177" fontId="69" fillId="62" borderId="43" xfId="11" applyNumberFormat="1" applyFont="1" applyFill="1" applyBorder="1" applyAlignment="1" applyProtection="1">
      <alignment vertical="center"/>
      <protection hidden="1"/>
    </xf>
    <xf numFmtId="0" fontId="69" fillId="0" borderId="42" xfId="0" applyFont="1" applyBorder="1"/>
    <xf numFmtId="175" fontId="109" fillId="0" borderId="10" xfId="0" applyNumberFormat="1" applyFont="1" applyBorder="1" applyAlignment="1">
      <alignment horizontal="center" vertical="center"/>
    </xf>
    <xf numFmtId="2" fontId="73" fillId="2" borderId="1" xfId="13" applyNumberFormat="1" applyFont="1" applyFill="1" applyBorder="1" applyAlignment="1" applyProtection="1">
      <alignment horizontal="right" vertical="center"/>
      <protection hidden="1"/>
    </xf>
    <xf numFmtId="173" fontId="82" fillId="61" borderId="43" xfId="8" applyNumberFormat="1" applyFont="1" applyFill="1" applyBorder="1" applyAlignment="1">
      <alignment vertical="top" wrapText="1"/>
    </xf>
    <xf numFmtId="167" fontId="74" fillId="2" borderId="43" xfId="8" applyFont="1" applyFill="1" applyBorder="1"/>
    <xf numFmtId="0" fontId="92" fillId="0" borderId="0" xfId="0" applyFont="1" applyAlignment="1">
      <alignment horizontal="center" vertical="center"/>
    </xf>
    <xf numFmtId="2" fontId="75" fillId="0" borderId="0" xfId="0" applyNumberFormat="1" applyFont="1" applyAlignment="1">
      <alignment horizontal="center" vertical="center"/>
    </xf>
    <xf numFmtId="2" fontId="73" fillId="0" borderId="43" xfId="3" applyNumberFormat="1" applyFont="1" applyFill="1" applyBorder="1" applyAlignment="1" applyProtection="1">
      <protection hidden="1"/>
    </xf>
    <xf numFmtId="166" fontId="73" fillId="35" borderId="43" xfId="17" applyFont="1" applyFill="1" applyBorder="1" applyAlignment="1" applyProtection="1">
      <protection locked="0"/>
    </xf>
    <xf numFmtId="166" fontId="73" fillId="63" borderId="43" xfId="17" applyFont="1" applyFill="1" applyBorder="1" applyAlignment="1" applyProtection="1">
      <protection locked="0"/>
    </xf>
    <xf numFmtId="179" fontId="74" fillId="0" borderId="43" xfId="3" applyNumberFormat="1" applyFont="1" applyFill="1" applyBorder="1" applyAlignment="1" applyProtection="1">
      <protection hidden="1"/>
    </xf>
    <xf numFmtId="169" fontId="73" fillId="0" borderId="43" xfId="3" applyFont="1" applyFill="1" applyBorder="1" applyAlignment="1" applyProtection="1">
      <protection hidden="1"/>
    </xf>
    <xf numFmtId="166" fontId="73" fillId="0" borderId="43" xfId="17" applyFont="1" applyFill="1" applyBorder="1" applyAlignment="1" applyProtection="1">
      <protection locked="0"/>
    </xf>
    <xf numFmtId="169" fontId="73" fillId="0" borderId="43" xfId="3" applyFont="1" applyFill="1" applyBorder="1" applyAlignment="1" applyProtection="1">
      <protection locked="0"/>
    </xf>
    <xf numFmtId="166" fontId="99" fillId="2" borderId="43" xfId="17" applyFont="1" applyFill="1" applyBorder="1" applyAlignment="1" applyProtection="1">
      <alignment horizontal="right"/>
      <protection locked="0"/>
    </xf>
    <xf numFmtId="179" fontId="77" fillId="0" borderId="43" xfId="5" applyNumberFormat="1" applyFont="1" applyFill="1" applyBorder="1" applyAlignment="1" applyProtection="1">
      <protection hidden="1"/>
    </xf>
    <xf numFmtId="0" fontId="69" fillId="0" borderId="44" xfId="62" applyFont="1" applyBorder="1"/>
    <xf numFmtId="49" fontId="74" fillId="0" borderId="44" xfId="62" applyNumberFormat="1" applyFont="1" applyBorder="1"/>
    <xf numFmtId="0" fontId="69" fillId="0" borderId="0" xfId="62" applyFont="1"/>
    <xf numFmtId="49" fontId="82" fillId="61" borderId="42" xfId="62" applyNumberFormat="1" applyFont="1" applyFill="1" applyBorder="1"/>
    <xf numFmtId="0" fontId="82" fillId="61" borderId="44" xfId="62" applyFont="1" applyFill="1" applyBorder="1"/>
    <xf numFmtId="173" fontId="82" fillId="61" borderId="42" xfId="8" applyNumberFormat="1" applyFont="1" applyFill="1" applyBorder="1" applyAlignment="1">
      <alignment horizontal="left"/>
    </xf>
    <xf numFmtId="167" fontId="82" fillId="61" borderId="41" xfId="8" applyFont="1" applyFill="1" applyBorder="1"/>
    <xf numFmtId="167" fontId="69" fillId="62" borderId="43" xfId="8" applyFont="1" applyFill="1" applyBorder="1" applyAlignment="1">
      <alignment horizontal="left"/>
    </xf>
    <xf numFmtId="167" fontId="69" fillId="0" borderId="41" xfId="8" applyFont="1" applyBorder="1"/>
    <xf numFmtId="2" fontId="69" fillId="62" borderId="43" xfId="8" applyNumberFormat="1" applyFont="1" applyFill="1" applyBorder="1" applyAlignment="1">
      <alignment horizontal="center"/>
    </xf>
    <xf numFmtId="167" fontId="69" fillId="2" borderId="43" xfId="8" applyFont="1" applyFill="1" applyBorder="1" applyAlignment="1">
      <alignment horizontal="center"/>
    </xf>
    <xf numFmtId="0" fontId="2" fillId="0" borderId="1" xfId="0" applyFont="1" applyBorder="1"/>
    <xf numFmtId="1" fontId="72" fillId="0" borderId="1" xfId="0" applyNumberFormat="1" applyFont="1" applyBorder="1" applyAlignment="1">
      <alignment horizontal="center"/>
    </xf>
    <xf numFmtId="173" fontId="74" fillId="2" borderId="43" xfId="8" applyNumberFormat="1" applyFont="1" applyFill="1" applyBorder="1"/>
    <xf numFmtId="2" fontId="83" fillId="62" borderId="0" xfId="12" applyNumberFormat="1" applyFont="1" applyFill="1"/>
    <xf numFmtId="10" fontId="97" fillId="0" borderId="2" xfId="13" applyNumberFormat="1" applyFont="1" applyBorder="1" applyAlignment="1" applyProtection="1">
      <alignment horizontal="right"/>
      <protection hidden="1"/>
    </xf>
    <xf numFmtId="175" fontId="96" fillId="0" borderId="11" xfId="15" applyNumberFormat="1" applyFont="1" applyFill="1" applyBorder="1" applyAlignment="1" applyProtection="1">
      <alignment horizontal="right"/>
      <protection hidden="1"/>
    </xf>
    <xf numFmtId="0" fontId="73" fillId="0" borderId="40" xfId="13" applyFont="1" applyBorder="1" applyProtection="1">
      <protection hidden="1"/>
    </xf>
    <xf numFmtId="0" fontId="110" fillId="0" borderId="42" xfId="13" applyFont="1" applyBorder="1" applyProtection="1">
      <protection hidden="1"/>
    </xf>
    <xf numFmtId="0" fontId="111" fillId="0" borderId="44" xfId="13" applyFont="1" applyBorder="1" applyProtection="1">
      <protection hidden="1"/>
    </xf>
    <xf numFmtId="0" fontId="111" fillId="0" borderId="41" xfId="13" applyFont="1" applyBorder="1" applyAlignment="1" applyProtection="1">
      <alignment horizontal="right"/>
      <protection hidden="1"/>
    </xf>
    <xf numFmtId="2" fontId="104" fillId="61" borderId="43" xfId="3" applyNumberFormat="1" applyFont="1" applyFill="1" applyBorder="1" applyAlignment="1" applyProtection="1">
      <alignment vertical="center" wrapText="1"/>
      <protection hidden="1"/>
    </xf>
    <xf numFmtId="2" fontId="84" fillId="62" borderId="0" xfId="12" applyNumberFormat="1" applyFont="1" applyFill="1"/>
    <xf numFmtId="173" fontId="82" fillId="61" borderId="43" xfId="8" applyNumberFormat="1" applyFont="1" applyFill="1" applyBorder="1" applyAlignment="1">
      <alignment horizontal="center" vertical="top" wrapText="1"/>
    </xf>
    <xf numFmtId="1" fontId="74" fillId="2" borderId="43" xfId="8" applyNumberFormat="1" applyFont="1" applyFill="1" applyBorder="1" applyAlignment="1">
      <alignment horizontal="center"/>
    </xf>
    <xf numFmtId="2" fontId="83" fillId="0" borderId="0" xfId="62" applyNumberFormat="1" applyFont="1"/>
    <xf numFmtId="166" fontId="69" fillId="2" borderId="43" xfId="17" applyFont="1" applyFill="1" applyBorder="1" applyAlignment="1">
      <alignment horizontal="center"/>
    </xf>
    <xf numFmtId="166" fontId="69" fillId="2" borderId="1" xfId="17" applyFont="1" applyFill="1" applyBorder="1" applyAlignment="1">
      <alignment horizontal="right"/>
    </xf>
    <xf numFmtId="166" fontId="69" fillId="2" borderId="43" xfId="17" applyFont="1" applyFill="1" applyBorder="1" applyAlignment="1">
      <alignment horizontal="right"/>
    </xf>
    <xf numFmtId="166" fontId="69" fillId="0" borderId="43" xfId="17" applyFont="1" applyBorder="1"/>
    <xf numFmtId="173" fontId="69" fillId="0" borderId="0" xfId="0" applyNumberFormat="1" applyFont="1"/>
    <xf numFmtId="49" fontId="89" fillId="0" borderId="42" xfId="62" applyNumberFormat="1" applyFont="1" applyBorder="1"/>
    <xf numFmtId="49" fontId="72" fillId="0" borderId="0" xfId="62" applyNumberFormat="1" applyFont="1"/>
    <xf numFmtId="0" fontId="72" fillId="0" borderId="0" xfId="62" applyFont="1"/>
    <xf numFmtId="10" fontId="72" fillId="0" borderId="0" xfId="62" applyNumberFormat="1" applyFont="1" applyAlignment="1">
      <alignment horizontal="left"/>
    </xf>
    <xf numFmtId="178" fontId="72" fillId="0" borderId="2" xfId="6" applyNumberFormat="1" applyFont="1" applyFill="1" applyBorder="1" applyAlignment="1">
      <alignment horizontal="left"/>
    </xf>
    <xf numFmtId="44" fontId="72" fillId="0" borderId="0" xfId="62" applyNumberFormat="1" applyFont="1"/>
    <xf numFmtId="166" fontId="89" fillId="2" borderId="41" xfId="17" applyFont="1" applyFill="1" applyBorder="1" applyAlignment="1"/>
    <xf numFmtId="0" fontId="82" fillId="61" borderId="43" xfId="0" applyFont="1" applyFill="1" applyBorder="1" applyAlignment="1">
      <alignment wrapText="1"/>
    </xf>
    <xf numFmtId="0" fontId="82" fillId="61" borderId="43" xfId="0" applyFont="1" applyFill="1" applyBorder="1"/>
    <xf numFmtId="1" fontId="69" fillId="0" borderId="43" xfId="60" applyNumberFormat="1" applyFont="1" applyBorder="1" applyAlignment="1">
      <alignment horizontal="center"/>
    </xf>
    <xf numFmtId="1" fontId="78" fillId="0" borderId="43" xfId="60" applyNumberFormat="1" applyFont="1" applyBorder="1" applyAlignment="1">
      <alignment horizontal="center"/>
    </xf>
    <xf numFmtId="1" fontId="73" fillId="0" borderId="43" xfId="60" applyNumberFormat="1" applyFont="1" applyBorder="1" applyAlignment="1">
      <alignment horizontal="center"/>
    </xf>
    <xf numFmtId="0" fontId="69" fillId="0" borderId="43" xfId="0" applyFont="1" applyBorder="1"/>
    <xf numFmtId="2" fontId="84" fillId="2" borderId="0" xfId="12" applyNumberFormat="1" applyFont="1" applyFill="1"/>
    <xf numFmtId="0" fontId="112" fillId="0" borderId="0" xfId="0" applyFont="1"/>
    <xf numFmtId="14" fontId="84" fillId="0" borderId="0" xfId="62" applyNumberFormat="1" applyFont="1" applyAlignment="1">
      <alignment horizontal="left"/>
    </xf>
    <xf numFmtId="14" fontId="84" fillId="0" borderId="0" xfId="12" applyNumberFormat="1" applyFont="1" applyAlignment="1">
      <alignment horizontal="left"/>
    </xf>
    <xf numFmtId="14" fontId="84" fillId="0" borderId="0" xfId="0" applyNumberFormat="1" applyFont="1" applyAlignment="1">
      <alignment horizontal="left"/>
    </xf>
    <xf numFmtId="2" fontId="85" fillId="0" borderId="0" xfId="12" applyNumberFormat="1" applyFont="1"/>
    <xf numFmtId="0" fontId="69" fillId="0" borderId="43" xfId="83" applyFont="1" applyBorder="1"/>
    <xf numFmtId="2" fontId="69" fillId="0" borderId="43" xfId="62" applyNumberFormat="1" applyFont="1" applyBorder="1"/>
    <xf numFmtId="187" fontId="69" fillId="0" borderId="43" xfId="62" applyNumberFormat="1" applyFont="1" applyBorder="1"/>
    <xf numFmtId="179" fontId="82" fillId="61" borderId="43" xfId="88" applyNumberFormat="1" applyFont="1" applyFill="1" applyBorder="1" applyAlignment="1" applyProtection="1">
      <alignment horizontal="center" vertical="top" wrapText="1"/>
      <protection hidden="1"/>
    </xf>
    <xf numFmtId="0" fontId="69" fillId="0" borderId="42" xfId="13" applyFont="1" applyBorder="1" applyProtection="1">
      <protection hidden="1"/>
    </xf>
    <xf numFmtId="2" fontId="69" fillId="0" borderId="43" xfId="0" applyNumberFormat="1" applyFont="1" applyBorder="1"/>
    <xf numFmtId="0" fontId="69" fillId="0" borderId="0" xfId="0" applyFont="1" applyAlignment="1">
      <alignment horizontal="left"/>
    </xf>
    <xf numFmtId="1" fontId="69" fillId="0" borderId="1" xfId="0" applyNumberFormat="1" applyFont="1" applyBorder="1" applyAlignment="1">
      <alignment horizontal="left"/>
    </xf>
    <xf numFmtId="1" fontId="69" fillId="0" borderId="9" xfId="0" applyNumberFormat="1" applyFont="1" applyBorder="1" applyAlignment="1">
      <alignment horizontal="left"/>
    </xf>
    <xf numFmtId="0" fontId="69" fillId="0" borderId="21" xfId="0" applyFont="1" applyBorder="1" applyAlignment="1">
      <alignment horizontal="left" wrapText="1"/>
    </xf>
    <xf numFmtId="0" fontId="87" fillId="0" borderId="21" xfId="58" applyFont="1" applyBorder="1" applyAlignment="1">
      <alignment horizontal="left" wrapText="1"/>
    </xf>
    <xf numFmtId="0" fontId="69" fillId="0" borderId="43" xfId="0" applyFont="1" applyBorder="1" applyAlignment="1">
      <alignment vertical="center"/>
    </xf>
    <xf numFmtId="1" fontId="82" fillId="61" borderId="43" xfId="0" applyNumberFormat="1" applyFont="1" applyFill="1" applyBorder="1" applyAlignment="1">
      <alignment horizontal="center" vertical="center" wrapText="1"/>
    </xf>
    <xf numFmtId="0" fontId="69" fillId="0" borderId="43" xfId="0" applyFont="1" applyBorder="1" applyAlignment="1">
      <alignment horizontal="center" vertical="center"/>
    </xf>
    <xf numFmtId="2" fontId="69" fillId="0" borderId="43" xfId="88" applyNumberFormat="1" applyFont="1" applyBorder="1"/>
    <xf numFmtId="2" fontId="69" fillId="2" borderId="43" xfId="88" applyNumberFormat="1" applyFont="1" applyFill="1" applyBorder="1"/>
    <xf numFmtId="166" fontId="74" fillId="2" borderId="1" xfId="17" applyFont="1" applyFill="1" applyBorder="1" applyAlignment="1">
      <alignment horizontal="center"/>
    </xf>
    <xf numFmtId="0" fontId="2" fillId="0" borderId="43" xfId="0" applyFont="1" applyBorder="1"/>
    <xf numFmtId="0" fontId="69" fillId="0" borderId="43" xfId="0" applyFont="1" applyBorder="1" applyAlignment="1">
      <alignment horizontal="center"/>
    </xf>
    <xf numFmtId="167" fontId="69" fillId="0" borderId="43" xfId="8" applyFont="1" applyBorder="1"/>
    <xf numFmtId="44" fontId="73" fillId="35" borderId="43" xfId="65" applyFont="1" applyFill="1" applyBorder="1" applyAlignment="1" applyProtection="1">
      <protection locked="0"/>
    </xf>
    <xf numFmtId="44" fontId="73" fillId="63" borderId="1" xfId="65" applyFont="1" applyFill="1" applyBorder="1" applyAlignment="1" applyProtection="1">
      <protection locked="0"/>
    </xf>
    <xf numFmtId="0" fontId="2" fillId="0" borderId="1" xfId="0" applyFont="1" applyBorder="1" applyAlignment="1">
      <alignment vertical="center"/>
    </xf>
    <xf numFmtId="0" fontId="69" fillId="0" borderId="1" xfId="0" applyFont="1" applyBorder="1" applyAlignment="1">
      <alignment vertical="center" wrapText="1"/>
    </xf>
    <xf numFmtId="3" fontId="73" fillId="62" borderId="1" xfId="61" applyNumberFormat="1" applyFont="1" applyFill="1" applyBorder="1" applyAlignment="1" applyProtection="1">
      <alignment horizontal="center" vertical="center"/>
      <protection hidden="1"/>
    </xf>
    <xf numFmtId="44" fontId="73" fillId="63" borderId="1" xfId="65" applyFont="1" applyFill="1" applyBorder="1" applyAlignment="1" applyProtection="1">
      <alignment vertical="center"/>
      <protection locked="0"/>
    </xf>
    <xf numFmtId="166" fontId="69" fillId="0" borderId="1" xfId="17" applyFont="1" applyBorder="1" applyAlignment="1">
      <alignment vertical="center"/>
    </xf>
    <xf numFmtId="2" fontId="85" fillId="0" borderId="0" xfId="10" applyNumberFormat="1" applyFont="1" applyAlignment="1">
      <alignment horizontal="left" vertical="center"/>
    </xf>
    <xf numFmtId="0" fontId="69" fillId="0" borderId="43" xfId="102" applyFont="1" applyBorder="1" applyAlignment="1">
      <alignment vertical="top" wrapText="1"/>
    </xf>
    <xf numFmtId="167" fontId="74" fillId="2" borderId="1" xfId="8" applyFont="1" applyFill="1" applyBorder="1" applyAlignment="1">
      <alignment horizontal="center"/>
    </xf>
    <xf numFmtId="173" fontId="69" fillId="2" borderId="1" xfId="8" applyNumberFormat="1" applyFont="1" applyFill="1" applyBorder="1" applyAlignment="1">
      <alignment horizontal="center"/>
    </xf>
    <xf numFmtId="173" fontId="74" fillId="2" borderId="1" xfId="8" applyNumberFormat="1" applyFont="1" applyFill="1" applyBorder="1" applyAlignment="1">
      <alignment horizontal="center"/>
    </xf>
    <xf numFmtId="10" fontId="69" fillId="62" borderId="43" xfId="15" applyNumberFormat="1" applyFont="1" applyFill="1" applyBorder="1" applyAlignment="1">
      <alignment horizontal="center"/>
    </xf>
    <xf numFmtId="166" fontId="69" fillId="62" borderId="1" xfId="17" applyFont="1" applyFill="1" applyBorder="1" applyAlignment="1">
      <alignment horizontal="center" vertical="top" wrapText="1"/>
    </xf>
    <xf numFmtId="2" fontId="69" fillId="0" borderId="1" xfId="83" applyNumberFormat="1" applyFont="1" applyBorder="1" applyAlignment="1">
      <alignment vertical="center"/>
    </xf>
    <xf numFmtId="0" fontId="69" fillId="0" borderId="43" xfId="88" applyFont="1" applyBorder="1" applyAlignment="1">
      <alignment vertical="center"/>
    </xf>
    <xf numFmtId="166" fontId="69" fillId="62" borderId="1" xfId="17" applyFont="1" applyFill="1" applyBorder="1" applyAlignment="1">
      <alignment horizontal="center" vertical="center" wrapText="1"/>
    </xf>
    <xf numFmtId="0" fontId="69" fillId="0" borderId="0" xfId="102" applyFont="1" applyAlignment="1">
      <alignment vertical="center"/>
    </xf>
    <xf numFmtId="0" fontId="89" fillId="0" borderId="0" xfId="102" applyFont="1"/>
    <xf numFmtId="173" fontId="74" fillId="62" borderId="43" xfId="8" applyNumberFormat="1" applyFont="1" applyFill="1" applyBorder="1" applyAlignment="1">
      <alignment horizontal="center" vertical="center"/>
    </xf>
    <xf numFmtId="1" fontId="1" fillId="0" borderId="1" xfId="0" applyNumberFormat="1" applyFont="1" applyBorder="1" applyAlignment="1">
      <alignment horizontal="center"/>
    </xf>
    <xf numFmtId="166" fontId="69" fillId="62" borderId="43" xfId="17" applyFont="1" applyFill="1" applyBorder="1" applyAlignment="1">
      <alignment horizontal="center" vertical="top" wrapText="1"/>
    </xf>
    <xf numFmtId="2" fontId="69" fillId="0" borderId="1" xfId="83" applyNumberFormat="1" applyFont="1" applyBorder="1" applyAlignment="1">
      <alignment vertical="center" wrapText="1"/>
    </xf>
    <xf numFmtId="0" fontId="69" fillId="0" borderId="43" xfId="88" applyFont="1" applyBorder="1" applyAlignment="1">
      <alignment vertical="center" wrapText="1"/>
    </xf>
    <xf numFmtId="0" fontId="69" fillId="0" borderId="0" xfId="102" applyFont="1" applyAlignment="1">
      <alignment vertical="center" wrapText="1"/>
    </xf>
    <xf numFmtId="0" fontId="69" fillId="2" borderId="1" xfId="10" applyFont="1" applyFill="1" applyBorder="1"/>
    <xf numFmtId="0" fontId="69" fillId="2" borderId="5" xfId="10" applyFont="1" applyFill="1" applyBorder="1"/>
    <xf numFmtId="0" fontId="69" fillId="2" borderId="44" xfId="10" applyFont="1" applyFill="1" applyBorder="1"/>
    <xf numFmtId="2" fontId="83" fillId="2" borderId="0" xfId="12" applyNumberFormat="1" applyFont="1" applyFill="1"/>
    <xf numFmtId="49" fontId="85" fillId="0" borderId="0" xfId="62" applyNumberFormat="1" applyFont="1" applyAlignment="1">
      <alignment horizontal="center"/>
    </xf>
    <xf numFmtId="167" fontId="69" fillId="0" borderId="1" xfId="8" applyFont="1" applyBorder="1"/>
    <xf numFmtId="167" fontId="69" fillId="0" borderId="1" xfId="8" applyFont="1" applyBorder="1" applyAlignment="1">
      <alignment horizontal="right"/>
    </xf>
    <xf numFmtId="167" fontId="69" fillId="0" borderId="21" xfId="8" applyFont="1" applyBorder="1" applyAlignment="1">
      <alignment wrapText="1"/>
    </xf>
    <xf numFmtId="167" fontId="74" fillId="0" borderId="0" xfId="8" applyFont="1" applyAlignment="1">
      <alignment horizontal="center"/>
    </xf>
    <xf numFmtId="167" fontId="82" fillId="61" borderId="4" xfId="8" applyFont="1" applyFill="1" applyBorder="1" applyAlignment="1">
      <alignment horizontal="left" vertical="top" wrapText="1"/>
    </xf>
    <xf numFmtId="167" fontId="69" fillId="0" borderId="7" xfId="8" applyFont="1" applyBorder="1" applyAlignment="1">
      <alignment horizontal="right"/>
    </xf>
    <xf numFmtId="167" fontId="87" fillId="0" borderId="21" xfId="8" applyFont="1" applyBorder="1" applyAlignment="1">
      <alignment wrapText="1"/>
    </xf>
    <xf numFmtId="166" fontId="69" fillId="62" borderId="1" xfId="17" applyFont="1" applyFill="1" applyBorder="1" applyAlignment="1" applyProtection="1">
      <alignment vertical="center"/>
      <protection hidden="1"/>
    </xf>
    <xf numFmtId="1" fontId="74" fillId="0" borderId="1" xfId="13" applyNumberFormat="1" applyFont="1" applyBorder="1" applyAlignment="1" applyProtection="1">
      <alignment horizontal="center" vertical="center"/>
      <protection hidden="1"/>
    </xf>
    <xf numFmtId="0" fontId="69" fillId="62" borderId="1" xfId="102" applyFont="1" applyFill="1" applyBorder="1" applyAlignment="1">
      <alignment vertical="center" wrapText="1"/>
    </xf>
    <xf numFmtId="0" fontId="69" fillId="62" borderId="1" xfId="102" applyFont="1" applyFill="1" applyBorder="1" applyAlignment="1">
      <alignment vertical="top" wrapText="1"/>
    </xf>
    <xf numFmtId="0" fontId="69" fillId="62" borderId="1" xfId="102" applyFont="1" applyFill="1" applyBorder="1" applyAlignment="1">
      <alignment vertical="top"/>
    </xf>
    <xf numFmtId="0" fontId="69" fillId="62" borderId="43" xfId="102" applyFont="1" applyFill="1" applyBorder="1" applyAlignment="1">
      <alignment vertical="top" wrapText="1"/>
    </xf>
    <xf numFmtId="166" fontId="69" fillId="2" borderId="43" xfId="17" applyFont="1" applyFill="1" applyBorder="1" applyAlignment="1">
      <alignment horizontal="center" vertical="top" wrapText="1"/>
    </xf>
    <xf numFmtId="44" fontId="82" fillId="61" borderId="41" xfId="62" applyNumberFormat="1" applyFont="1" applyFill="1" applyBorder="1"/>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39" xfId="8" applyFont="1" applyFill="1" applyBorder="1" applyAlignment="1">
      <alignment horizontal="center" vertical="top" wrapText="1"/>
    </xf>
    <xf numFmtId="167" fontId="89" fillId="61" borderId="40" xfId="8" applyFont="1" applyFill="1" applyBorder="1" applyAlignment="1">
      <alignment horizontal="center" vertical="top" wrapText="1"/>
    </xf>
    <xf numFmtId="49" fontId="82" fillId="61" borderId="42" xfId="62" applyNumberFormat="1" applyFont="1" applyFill="1" applyBorder="1" applyAlignment="1">
      <alignment horizontal="left" vertical="top" wrapText="1"/>
    </xf>
    <xf numFmtId="49" fontId="82" fillId="61" borderId="44" xfId="62" applyNumberFormat="1" applyFont="1" applyFill="1" applyBorder="1" applyAlignment="1">
      <alignment horizontal="left" vertical="top" wrapText="1"/>
    </xf>
    <xf numFmtId="49" fontId="82" fillId="61" borderId="41" xfId="62" applyNumberFormat="1" applyFont="1" applyFill="1" applyBorder="1" applyAlignment="1">
      <alignment horizontal="left" vertical="top" wrapText="1"/>
    </xf>
    <xf numFmtId="0" fontId="69" fillId="0" borderId="5" xfId="0" applyFont="1" applyBorder="1" applyAlignment="1">
      <alignment horizontal="left"/>
    </xf>
    <xf numFmtId="0" fontId="69" fillId="0" borderId="7" xfId="0" applyFont="1" applyBorder="1" applyAlignment="1">
      <alignment horizontal="left"/>
    </xf>
    <xf numFmtId="0" fontId="74" fillId="0" borderId="5" xfId="13" applyFont="1" applyBorder="1" applyAlignment="1" applyProtection="1">
      <alignment horizontal="left" vertical="center"/>
      <protection hidden="1"/>
    </xf>
    <xf numFmtId="0" fontId="74" fillId="0" borderId="7" xfId="13" applyFont="1" applyBorder="1" applyAlignment="1" applyProtection="1">
      <alignment horizontal="left" vertical="center"/>
      <protection hidden="1"/>
    </xf>
    <xf numFmtId="2" fontId="104" fillId="61" borderId="43" xfId="13" applyNumberFormat="1" applyFont="1" applyFill="1" applyBorder="1" applyAlignment="1" applyProtection="1">
      <alignment horizontal="center" vertical="center" wrapText="1"/>
      <protection hidden="1"/>
    </xf>
    <xf numFmtId="2" fontId="104" fillId="61" borderId="5" xfId="3"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9" fillId="0" borderId="0" xfId="0" applyFont="1" applyAlignment="1">
      <alignment horizontal="left" vertical="top" wrapText="1"/>
    </xf>
    <xf numFmtId="2" fontId="104" fillId="61" borderId="1" xfId="13" applyNumberFormat="1" applyFont="1" applyFill="1" applyBorder="1" applyAlignment="1" applyProtection="1">
      <alignment horizontal="center" vertical="center" wrapText="1"/>
      <protection hidden="1"/>
    </xf>
    <xf numFmtId="2" fontId="104" fillId="61" borderId="42" xfId="13" applyNumberFormat="1" applyFont="1" applyFill="1" applyBorder="1" applyAlignment="1" applyProtection="1">
      <alignment horizontal="center" vertical="center" wrapText="1"/>
      <protection hidden="1"/>
    </xf>
    <xf numFmtId="2" fontId="104" fillId="61" borderId="44" xfId="13" applyNumberFormat="1" applyFont="1" applyFill="1" applyBorder="1" applyAlignment="1" applyProtection="1">
      <alignment horizontal="center" vertical="center" wrapText="1"/>
      <protection hidden="1"/>
    </xf>
    <xf numFmtId="2" fontId="104" fillId="61" borderId="41" xfId="13"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9" fillId="0" borderId="5" xfId="9" applyFont="1" applyBorder="1" applyAlignment="1" applyProtection="1">
      <alignment horizontal="center"/>
      <protection hidden="1"/>
    </xf>
    <xf numFmtId="0" fontId="69" fillId="0" borderId="6" xfId="9" applyFont="1" applyBorder="1" applyAlignment="1" applyProtection="1">
      <alignment horizontal="center"/>
      <protection hidden="1"/>
    </xf>
    <xf numFmtId="0" fontId="69" fillId="0" borderId="7" xfId="9" applyFont="1" applyBorder="1" applyAlignment="1" applyProtection="1">
      <alignment horizontal="center"/>
      <protection hidden="1"/>
    </xf>
    <xf numFmtId="179" fontId="82" fillId="61" borderId="42" xfId="88" applyNumberFormat="1" applyFont="1" applyFill="1" applyBorder="1" applyAlignment="1" applyProtection="1">
      <alignment horizontal="center" vertical="top" wrapText="1"/>
      <protection hidden="1"/>
    </xf>
    <xf numFmtId="179" fontId="82" fillId="61" borderId="44" xfId="88" applyNumberFormat="1" applyFont="1" applyFill="1" applyBorder="1" applyAlignment="1" applyProtection="1">
      <alignment horizontal="center" vertical="top" wrapText="1"/>
      <protection hidden="1"/>
    </xf>
    <xf numFmtId="179" fontId="82" fillId="61" borderId="41" xfId="88" applyNumberFormat="1" applyFont="1" applyFill="1" applyBorder="1" applyAlignment="1" applyProtection="1">
      <alignment horizontal="center" vertical="top" wrapText="1"/>
      <protection hidden="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9">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42</xdr:row>
      <xdr:rowOff>133350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82350" cy="6090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tx1"/>
              </a:solidFill>
              <a:effectLst/>
              <a:latin typeface="+mn-lt"/>
              <a:ea typeface="+mn-ea"/>
              <a:cs typeface="+mn-cs"/>
            </a:rPr>
            <a:t>Het loon- en prijspeil van 1 januari 2024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1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a:effectLst/>
          </a:endParaRPr>
        </a:p>
        <a:p>
          <a:r>
            <a:rPr lang="nl-NL" sz="1100" b="0">
              <a:solidFill>
                <a:schemeClr val="dk1"/>
              </a:solidFill>
              <a:effectLst/>
              <a:latin typeface="+mn-lt"/>
              <a:ea typeface="+mn-ea"/>
              <a:cs typeface="+mn-cs"/>
            </a:rPr>
            <a:t> </a:t>
          </a:r>
          <a:endParaRPr lang="nl-NL" sz="1200">
            <a:effectLst/>
          </a:endParaRPr>
        </a:p>
        <a:p>
          <a:r>
            <a:rPr lang="nl-NL" sz="11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31</xdr:row>
      <xdr:rowOff>9525</xdr:rowOff>
    </xdr:from>
    <xdr:to>
      <xdr:col>7</xdr:col>
      <xdr:colOff>112395</xdr:colOff>
      <xdr:row>39</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25422</xdr:rowOff>
    </xdr:from>
    <xdr:to>
      <xdr:col>14</xdr:col>
      <xdr:colOff>17251</xdr:colOff>
      <xdr:row>6</xdr:row>
      <xdr:rowOff>179917</xdr:rowOff>
    </xdr:to>
    <xdr:sp macro="" textlink="">
      <xdr:nvSpPr>
        <xdr:cNvPr id="3" name="Tekstvak 2">
          <a:extLst>
            <a:ext uri="{FF2B5EF4-FFF2-40B4-BE49-F238E27FC236}">
              <a16:creationId xmlns:a16="http://schemas.microsoft.com/office/drawing/2014/main" id="{22AD1121-DAB8-4B20-A500-2378F98D5EE1}"/>
            </a:ext>
          </a:extLst>
        </xdr:cNvPr>
        <xdr:cNvSpPr txBox="1"/>
      </xdr:nvSpPr>
      <xdr:spPr>
        <a:xfrm>
          <a:off x="7387167" y="25422"/>
          <a:ext cx="6600084" cy="1233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65389</xdr:rowOff>
    </xdr:from>
    <xdr:to>
      <xdr:col>14</xdr:col>
      <xdr:colOff>608</xdr:colOff>
      <xdr:row>6</xdr:row>
      <xdr:rowOff>171236</xdr:rowOff>
    </xdr:to>
    <xdr:sp macro="" textlink="">
      <xdr:nvSpPr>
        <xdr:cNvPr id="3" name="Tekstvak 2">
          <a:extLst>
            <a:ext uri="{FF2B5EF4-FFF2-40B4-BE49-F238E27FC236}">
              <a16:creationId xmlns:a16="http://schemas.microsoft.com/office/drawing/2014/main" id="{91A370E1-4F96-4D7F-8E64-4E32C2D7F0E5}"/>
            </a:ext>
          </a:extLst>
        </xdr:cNvPr>
        <xdr:cNvSpPr txBox="1"/>
      </xdr:nvSpPr>
      <xdr:spPr>
        <a:xfrm>
          <a:off x="7395253" y="65389"/>
          <a:ext cx="6603894" cy="1197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election activeCell="C47" sqref="C46:C47"/>
    </sheetView>
  </sheetViews>
  <sheetFormatPr defaultRowHeight="12.6"/>
  <cols>
    <col min="1" max="1" width="27.77734375" customWidth="1"/>
  </cols>
  <sheetData>
    <row r="1" spans="1:13" ht="15">
      <c r="A1" s="26" t="s">
        <v>26</v>
      </c>
      <c r="B1" s="403" t="str">
        <f>'2-Kosten per locatie'!B3</f>
        <v>Stichting Christelijk Onderwijs Haaglanden</v>
      </c>
    </row>
    <row r="2" spans="1:13" ht="15">
      <c r="A2" s="26" t="s">
        <v>14</v>
      </c>
      <c r="B2" s="403" t="str">
        <f ca="1">MID(CELL("bestandsnaam",$B$11),SEARCH("]",CELL("bestandsnaam",$B$11),1)+1,256)</f>
        <v>1-Uitgangspunten</v>
      </c>
    </row>
    <row r="3" spans="1:13" ht="15">
      <c r="A3" s="26" t="s">
        <v>72</v>
      </c>
      <c r="B3" s="403" t="str">
        <f>'2-Kosten per locatie'!B5</f>
        <v>Den Haag</v>
      </c>
    </row>
    <row r="4" spans="1:13" ht="15">
      <c r="A4" s="26" t="s">
        <v>187</v>
      </c>
      <c r="B4" s="403" t="str">
        <f>'2-Kosten per locatie'!B6</f>
        <v>SCOH-EA-DK-RT-2023</v>
      </c>
      <c r="G4" s="404"/>
      <c r="H4" s="404"/>
      <c r="I4" s="404"/>
      <c r="J4" s="404"/>
      <c r="K4" s="404"/>
      <c r="L4" s="404"/>
      <c r="M4" s="40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Y41"/>
  <sheetViews>
    <sheetView showGridLines="0" zoomScale="85" zoomScaleNormal="85" zoomScaleSheetLayoutView="50" zoomScalePageLayoutView="50" workbookViewId="0">
      <pane ySplit="10" topLeftCell="A11" activePane="bottomLeft" state="frozen"/>
      <selection activeCell="B1" sqref="B1"/>
      <selection pane="bottomLeft" activeCell="E7" sqref="E7"/>
    </sheetView>
  </sheetViews>
  <sheetFormatPr defaultColWidth="13.6640625" defaultRowHeight="13.2"/>
  <cols>
    <col min="1" max="1" width="52.6640625" style="245" customWidth="1"/>
    <col min="2" max="2" width="29.109375" style="251" customWidth="1"/>
    <col min="3" max="3" width="16.5546875" style="245" customWidth="1"/>
    <col min="4" max="4" width="24.33203125" style="253" customWidth="1"/>
    <col min="5" max="5" width="16.109375" style="252" customWidth="1"/>
    <col min="6" max="6" width="13.6640625" style="253" customWidth="1"/>
    <col min="7" max="7" width="15.88671875" style="253" customWidth="1"/>
    <col min="8" max="246" width="13.6640625" style="245"/>
    <col min="247" max="247" width="22.109375" style="245" customWidth="1"/>
    <col min="248" max="254" width="13.6640625" style="245" customWidth="1"/>
    <col min="255" max="255" width="15.88671875" style="245" customWidth="1"/>
    <col min="256" max="256" width="16.5546875" style="245" bestFit="1" customWidth="1"/>
    <col min="257" max="257" width="13.6640625" style="245" customWidth="1"/>
    <col min="258" max="258" width="17.109375" style="245" bestFit="1" customWidth="1"/>
    <col min="259" max="259" width="4" style="245" customWidth="1"/>
    <col min="260" max="260" width="13.6640625" style="245" customWidth="1"/>
    <col min="261" max="502" width="13.6640625" style="245"/>
    <col min="503" max="503" width="22.109375" style="245" customWidth="1"/>
    <col min="504" max="510" width="13.6640625" style="245" customWidth="1"/>
    <col min="511" max="511" width="15.88671875" style="245" customWidth="1"/>
    <col min="512" max="512" width="16.5546875" style="245" bestFit="1" customWidth="1"/>
    <col min="513" max="513" width="13.6640625" style="245" customWidth="1"/>
    <col min="514" max="514" width="17.109375" style="245" bestFit="1" customWidth="1"/>
    <col min="515" max="515" width="4" style="245" customWidth="1"/>
    <col min="516" max="516" width="13.6640625" style="245" customWidth="1"/>
    <col min="517" max="758" width="13.6640625" style="245"/>
    <col min="759" max="759" width="22.109375" style="245" customWidth="1"/>
    <col min="760" max="766" width="13.6640625" style="245" customWidth="1"/>
    <col min="767" max="767" width="15.88671875" style="245" customWidth="1"/>
    <col min="768" max="768" width="16.5546875" style="245" bestFit="1" customWidth="1"/>
    <col min="769" max="769" width="13.6640625" style="245" customWidth="1"/>
    <col min="770" max="770" width="17.109375" style="245" bestFit="1" customWidth="1"/>
    <col min="771" max="771" width="4" style="245" customWidth="1"/>
    <col min="772" max="772" width="13.6640625" style="245" customWidth="1"/>
    <col min="773" max="1014" width="13.6640625" style="245"/>
    <col min="1015" max="1015" width="22.109375" style="245" customWidth="1"/>
    <col min="1016" max="1022" width="13.6640625" style="245" customWidth="1"/>
    <col min="1023" max="1023" width="15.88671875" style="245" customWidth="1"/>
    <col min="1024" max="1024" width="16.5546875" style="245" bestFit="1" customWidth="1"/>
    <col min="1025" max="1025" width="13.6640625" style="245" customWidth="1"/>
    <col min="1026" max="1026" width="17.109375" style="245" bestFit="1" customWidth="1"/>
    <col min="1027" max="1027" width="4" style="245" customWidth="1"/>
    <col min="1028" max="1028" width="13.6640625" style="245" customWidth="1"/>
    <col min="1029" max="1270" width="13.6640625" style="245"/>
    <col min="1271" max="1271" width="22.109375" style="245" customWidth="1"/>
    <col min="1272" max="1278" width="13.6640625" style="245" customWidth="1"/>
    <col min="1279" max="1279" width="15.88671875" style="245" customWidth="1"/>
    <col min="1280" max="1280" width="16.5546875" style="245" bestFit="1" customWidth="1"/>
    <col min="1281" max="1281" width="13.6640625" style="245" customWidth="1"/>
    <col min="1282" max="1282" width="17.109375" style="245" bestFit="1" customWidth="1"/>
    <col min="1283" max="1283" width="4" style="245" customWidth="1"/>
    <col min="1284" max="1284" width="13.6640625" style="245" customWidth="1"/>
    <col min="1285" max="1526" width="13.6640625" style="245"/>
    <col min="1527" max="1527" width="22.109375" style="245" customWidth="1"/>
    <col min="1528" max="1534" width="13.6640625" style="245" customWidth="1"/>
    <col min="1535" max="1535" width="15.88671875" style="245" customWidth="1"/>
    <col min="1536" max="1536" width="16.5546875" style="245" bestFit="1" customWidth="1"/>
    <col min="1537" max="1537" width="13.6640625" style="245" customWidth="1"/>
    <col min="1538" max="1538" width="17.109375" style="245" bestFit="1" customWidth="1"/>
    <col min="1539" max="1539" width="4" style="245" customWidth="1"/>
    <col min="1540" max="1540" width="13.6640625" style="245" customWidth="1"/>
    <col min="1541" max="1782" width="13.6640625" style="245"/>
    <col min="1783" max="1783" width="22.109375" style="245" customWidth="1"/>
    <col min="1784" max="1790" width="13.6640625" style="245" customWidth="1"/>
    <col min="1791" max="1791" width="15.88671875" style="245" customWidth="1"/>
    <col min="1792" max="1792" width="16.5546875" style="245" bestFit="1" customWidth="1"/>
    <col min="1793" max="1793" width="13.6640625" style="245" customWidth="1"/>
    <col min="1794" max="1794" width="17.109375" style="245" bestFit="1" customWidth="1"/>
    <col min="1795" max="1795" width="4" style="245" customWidth="1"/>
    <col min="1796" max="1796" width="13.6640625" style="245" customWidth="1"/>
    <col min="1797" max="2038" width="13.6640625" style="245"/>
    <col min="2039" max="2039" width="22.109375" style="245" customWidth="1"/>
    <col min="2040" max="2046" width="13.6640625" style="245" customWidth="1"/>
    <col min="2047" max="2047" width="15.88671875" style="245" customWidth="1"/>
    <col min="2048" max="2048" width="16.5546875" style="245" bestFit="1" customWidth="1"/>
    <col min="2049" max="2049" width="13.6640625" style="245" customWidth="1"/>
    <col min="2050" max="2050" width="17.109375" style="245" bestFit="1" customWidth="1"/>
    <col min="2051" max="2051" width="4" style="245" customWidth="1"/>
    <col min="2052" max="2052" width="13.6640625" style="245" customWidth="1"/>
    <col min="2053" max="2294" width="13.6640625" style="245"/>
    <col min="2295" max="2295" width="22.109375" style="245" customWidth="1"/>
    <col min="2296" max="2302" width="13.6640625" style="245" customWidth="1"/>
    <col min="2303" max="2303" width="15.88671875" style="245" customWidth="1"/>
    <col min="2304" max="2304" width="16.5546875" style="245" bestFit="1" customWidth="1"/>
    <col min="2305" max="2305" width="13.6640625" style="245" customWidth="1"/>
    <col min="2306" max="2306" width="17.109375" style="245" bestFit="1" customWidth="1"/>
    <col min="2307" max="2307" width="4" style="245" customWidth="1"/>
    <col min="2308" max="2308" width="13.6640625" style="245" customWidth="1"/>
    <col min="2309" max="2550" width="13.6640625" style="245"/>
    <col min="2551" max="2551" width="22.109375" style="245" customWidth="1"/>
    <col min="2552" max="2558" width="13.6640625" style="245" customWidth="1"/>
    <col min="2559" max="2559" width="15.88671875" style="245" customWidth="1"/>
    <col min="2560" max="2560" width="16.5546875" style="245" bestFit="1" customWidth="1"/>
    <col min="2561" max="2561" width="13.6640625" style="245" customWidth="1"/>
    <col min="2562" max="2562" width="17.109375" style="245" bestFit="1" customWidth="1"/>
    <col min="2563" max="2563" width="4" style="245" customWidth="1"/>
    <col min="2564" max="2564" width="13.6640625" style="245" customWidth="1"/>
    <col min="2565" max="2806" width="13.6640625" style="245"/>
    <col min="2807" max="2807" width="22.109375" style="245" customWidth="1"/>
    <col min="2808" max="2814" width="13.6640625" style="245" customWidth="1"/>
    <col min="2815" max="2815" width="15.88671875" style="245" customWidth="1"/>
    <col min="2816" max="2816" width="16.5546875" style="245" bestFit="1" customWidth="1"/>
    <col min="2817" max="2817" width="13.6640625" style="245" customWidth="1"/>
    <col min="2818" max="2818" width="17.109375" style="245" bestFit="1" customWidth="1"/>
    <col min="2819" max="2819" width="4" style="245" customWidth="1"/>
    <col min="2820" max="2820" width="13.6640625" style="245" customWidth="1"/>
    <col min="2821" max="3062" width="13.6640625" style="245"/>
    <col min="3063" max="3063" width="22.109375" style="245" customWidth="1"/>
    <col min="3064" max="3070" width="13.6640625" style="245" customWidth="1"/>
    <col min="3071" max="3071" width="15.88671875" style="245" customWidth="1"/>
    <col min="3072" max="3072" width="16.5546875" style="245" bestFit="1" customWidth="1"/>
    <col min="3073" max="3073" width="13.6640625" style="245" customWidth="1"/>
    <col min="3074" max="3074" width="17.109375" style="245" bestFit="1" customWidth="1"/>
    <col min="3075" max="3075" width="4" style="245" customWidth="1"/>
    <col min="3076" max="3076" width="13.6640625" style="245" customWidth="1"/>
    <col min="3077" max="3318" width="13.6640625" style="245"/>
    <col min="3319" max="3319" width="22.109375" style="245" customWidth="1"/>
    <col min="3320" max="3326" width="13.6640625" style="245" customWidth="1"/>
    <col min="3327" max="3327" width="15.88671875" style="245" customWidth="1"/>
    <col min="3328" max="3328" width="16.5546875" style="245" bestFit="1" customWidth="1"/>
    <col min="3329" max="3329" width="13.6640625" style="245" customWidth="1"/>
    <col min="3330" max="3330" width="17.109375" style="245" bestFit="1" customWidth="1"/>
    <col min="3331" max="3331" width="4" style="245" customWidth="1"/>
    <col min="3332" max="3332" width="13.6640625" style="245" customWidth="1"/>
    <col min="3333" max="3574" width="13.6640625" style="245"/>
    <col min="3575" max="3575" width="22.109375" style="245" customWidth="1"/>
    <col min="3576" max="3582" width="13.6640625" style="245" customWidth="1"/>
    <col min="3583" max="3583" width="15.88671875" style="245" customWidth="1"/>
    <col min="3584" max="3584" width="16.5546875" style="245" bestFit="1" customWidth="1"/>
    <col min="3585" max="3585" width="13.6640625" style="245" customWidth="1"/>
    <col min="3586" max="3586" width="17.109375" style="245" bestFit="1" customWidth="1"/>
    <col min="3587" max="3587" width="4" style="245" customWidth="1"/>
    <col min="3588" max="3588" width="13.6640625" style="245" customWidth="1"/>
    <col min="3589" max="3830" width="13.6640625" style="245"/>
    <col min="3831" max="3831" width="22.109375" style="245" customWidth="1"/>
    <col min="3832" max="3838" width="13.6640625" style="245" customWidth="1"/>
    <col min="3839" max="3839" width="15.88671875" style="245" customWidth="1"/>
    <col min="3840" max="3840" width="16.5546875" style="245" bestFit="1" customWidth="1"/>
    <col min="3841" max="3841" width="13.6640625" style="245" customWidth="1"/>
    <col min="3842" max="3842" width="17.109375" style="245" bestFit="1" customWidth="1"/>
    <col min="3843" max="3843" width="4" style="245" customWidth="1"/>
    <col min="3844" max="3844" width="13.6640625" style="245" customWidth="1"/>
    <col min="3845" max="4086" width="13.6640625" style="245"/>
    <col min="4087" max="4087" width="22.109375" style="245" customWidth="1"/>
    <col min="4088" max="4094" width="13.6640625" style="245" customWidth="1"/>
    <col min="4095" max="4095" width="15.88671875" style="245" customWidth="1"/>
    <col min="4096" max="4096" width="16.5546875" style="245" bestFit="1" customWidth="1"/>
    <col min="4097" max="4097" width="13.6640625" style="245" customWidth="1"/>
    <col min="4098" max="4098" width="17.109375" style="245" bestFit="1" customWidth="1"/>
    <col min="4099" max="4099" width="4" style="245" customWidth="1"/>
    <col min="4100" max="4100" width="13.6640625" style="245" customWidth="1"/>
    <col min="4101" max="4342" width="13.6640625" style="245"/>
    <col min="4343" max="4343" width="22.109375" style="245" customWidth="1"/>
    <col min="4344" max="4350" width="13.6640625" style="245" customWidth="1"/>
    <col min="4351" max="4351" width="15.88671875" style="245" customWidth="1"/>
    <col min="4352" max="4352" width="16.5546875" style="245" bestFit="1" customWidth="1"/>
    <col min="4353" max="4353" width="13.6640625" style="245" customWidth="1"/>
    <col min="4354" max="4354" width="17.109375" style="245" bestFit="1" customWidth="1"/>
    <col min="4355" max="4355" width="4" style="245" customWidth="1"/>
    <col min="4356" max="4356" width="13.6640625" style="245" customWidth="1"/>
    <col min="4357" max="4598" width="13.6640625" style="245"/>
    <col min="4599" max="4599" width="22.109375" style="245" customWidth="1"/>
    <col min="4600" max="4606" width="13.6640625" style="245" customWidth="1"/>
    <col min="4607" max="4607" width="15.88671875" style="245" customWidth="1"/>
    <col min="4608" max="4608" width="16.5546875" style="245" bestFit="1" customWidth="1"/>
    <col min="4609" max="4609" width="13.6640625" style="245" customWidth="1"/>
    <col min="4610" max="4610" width="17.109375" style="245" bestFit="1" customWidth="1"/>
    <col min="4611" max="4611" width="4" style="245" customWidth="1"/>
    <col min="4612" max="4612" width="13.6640625" style="245" customWidth="1"/>
    <col min="4613" max="4854" width="13.6640625" style="245"/>
    <col min="4855" max="4855" width="22.109375" style="245" customWidth="1"/>
    <col min="4856" max="4862" width="13.6640625" style="245" customWidth="1"/>
    <col min="4863" max="4863" width="15.88671875" style="245" customWidth="1"/>
    <col min="4864" max="4864" width="16.5546875" style="245" bestFit="1" customWidth="1"/>
    <col min="4865" max="4865" width="13.6640625" style="245" customWidth="1"/>
    <col min="4866" max="4866" width="17.109375" style="245" bestFit="1" customWidth="1"/>
    <col min="4867" max="4867" width="4" style="245" customWidth="1"/>
    <col min="4868" max="4868" width="13.6640625" style="245" customWidth="1"/>
    <col min="4869" max="5110" width="13.6640625" style="245"/>
    <col min="5111" max="5111" width="22.109375" style="245" customWidth="1"/>
    <col min="5112" max="5118" width="13.6640625" style="245" customWidth="1"/>
    <col min="5119" max="5119" width="15.88671875" style="245" customWidth="1"/>
    <col min="5120" max="5120" width="16.5546875" style="245" bestFit="1" customWidth="1"/>
    <col min="5121" max="5121" width="13.6640625" style="245" customWidth="1"/>
    <col min="5122" max="5122" width="17.109375" style="245" bestFit="1" customWidth="1"/>
    <col min="5123" max="5123" width="4" style="245" customWidth="1"/>
    <col min="5124" max="5124" width="13.6640625" style="245" customWidth="1"/>
    <col min="5125" max="5366" width="13.6640625" style="245"/>
    <col min="5367" max="5367" width="22.109375" style="245" customWidth="1"/>
    <col min="5368" max="5374" width="13.6640625" style="245" customWidth="1"/>
    <col min="5375" max="5375" width="15.88671875" style="245" customWidth="1"/>
    <col min="5376" max="5376" width="16.5546875" style="245" bestFit="1" customWidth="1"/>
    <col min="5377" max="5377" width="13.6640625" style="245" customWidth="1"/>
    <col min="5378" max="5378" width="17.109375" style="245" bestFit="1" customWidth="1"/>
    <col min="5379" max="5379" width="4" style="245" customWidth="1"/>
    <col min="5380" max="5380" width="13.6640625" style="245" customWidth="1"/>
    <col min="5381" max="5622" width="13.6640625" style="245"/>
    <col min="5623" max="5623" width="22.109375" style="245" customWidth="1"/>
    <col min="5624" max="5630" width="13.6640625" style="245" customWidth="1"/>
    <col min="5631" max="5631" width="15.88671875" style="245" customWidth="1"/>
    <col min="5632" max="5632" width="16.5546875" style="245" bestFit="1" customWidth="1"/>
    <col min="5633" max="5633" width="13.6640625" style="245" customWidth="1"/>
    <col min="5634" max="5634" width="17.109375" style="245" bestFit="1" customWidth="1"/>
    <col min="5635" max="5635" width="4" style="245" customWidth="1"/>
    <col min="5636" max="5636" width="13.6640625" style="245" customWidth="1"/>
    <col min="5637" max="5878" width="13.6640625" style="245"/>
    <col min="5879" max="5879" width="22.109375" style="245" customWidth="1"/>
    <col min="5880" max="5886" width="13.6640625" style="245" customWidth="1"/>
    <col min="5887" max="5887" width="15.88671875" style="245" customWidth="1"/>
    <col min="5888" max="5888" width="16.5546875" style="245" bestFit="1" customWidth="1"/>
    <col min="5889" max="5889" width="13.6640625" style="245" customWidth="1"/>
    <col min="5890" max="5890" width="17.109375" style="245" bestFit="1" customWidth="1"/>
    <col min="5891" max="5891" width="4" style="245" customWidth="1"/>
    <col min="5892" max="5892" width="13.6640625" style="245" customWidth="1"/>
    <col min="5893" max="6134" width="13.6640625" style="245"/>
    <col min="6135" max="6135" width="22.109375" style="245" customWidth="1"/>
    <col min="6136" max="6142" width="13.6640625" style="245" customWidth="1"/>
    <col min="6143" max="6143" width="15.88671875" style="245" customWidth="1"/>
    <col min="6144" max="6144" width="16.5546875" style="245" bestFit="1" customWidth="1"/>
    <col min="6145" max="6145" width="13.6640625" style="245" customWidth="1"/>
    <col min="6146" max="6146" width="17.109375" style="245" bestFit="1" customWidth="1"/>
    <col min="6147" max="6147" width="4" style="245" customWidth="1"/>
    <col min="6148" max="6148" width="13.6640625" style="245" customWidth="1"/>
    <col min="6149" max="6390" width="13.6640625" style="245"/>
    <col min="6391" max="6391" width="22.109375" style="245" customWidth="1"/>
    <col min="6392" max="6398" width="13.6640625" style="245" customWidth="1"/>
    <col min="6399" max="6399" width="15.88671875" style="245" customWidth="1"/>
    <col min="6400" max="6400" width="16.5546875" style="245" bestFit="1" customWidth="1"/>
    <col min="6401" max="6401" width="13.6640625" style="245" customWidth="1"/>
    <col min="6402" max="6402" width="17.109375" style="245" bestFit="1" customWidth="1"/>
    <col min="6403" max="6403" width="4" style="245" customWidth="1"/>
    <col min="6404" max="6404" width="13.6640625" style="245" customWidth="1"/>
    <col min="6405" max="6646" width="13.6640625" style="245"/>
    <col min="6647" max="6647" width="22.109375" style="245" customWidth="1"/>
    <col min="6648" max="6654" width="13.6640625" style="245" customWidth="1"/>
    <col min="6655" max="6655" width="15.88671875" style="245" customWidth="1"/>
    <col min="6656" max="6656" width="16.5546875" style="245" bestFit="1" customWidth="1"/>
    <col min="6657" max="6657" width="13.6640625" style="245" customWidth="1"/>
    <col min="6658" max="6658" width="17.109375" style="245" bestFit="1" customWidth="1"/>
    <col min="6659" max="6659" width="4" style="245" customWidth="1"/>
    <col min="6660" max="6660" width="13.6640625" style="245" customWidth="1"/>
    <col min="6661" max="6902" width="13.6640625" style="245"/>
    <col min="6903" max="6903" width="22.109375" style="245" customWidth="1"/>
    <col min="6904" max="6910" width="13.6640625" style="245" customWidth="1"/>
    <col min="6911" max="6911" width="15.88671875" style="245" customWidth="1"/>
    <col min="6912" max="6912" width="16.5546875" style="245" bestFit="1" customWidth="1"/>
    <col min="6913" max="6913" width="13.6640625" style="245" customWidth="1"/>
    <col min="6914" max="6914" width="17.109375" style="245" bestFit="1" customWidth="1"/>
    <col min="6915" max="6915" width="4" style="245" customWidth="1"/>
    <col min="6916" max="6916" width="13.6640625" style="245" customWidth="1"/>
    <col min="6917" max="7158" width="13.6640625" style="245"/>
    <col min="7159" max="7159" width="22.109375" style="245" customWidth="1"/>
    <col min="7160" max="7166" width="13.6640625" style="245" customWidth="1"/>
    <col min="7167" max="7167" width="15.88671875" style="245" customWidth="1"/>
    <col min="7168" max="7168" width="16.5546875" style="245" bestFit="1" customWidth="1"/>
    <col min="7169" max="7169" width="13.6640625" style="245" customWidth="1"/>
    <col min="7170" max="7170" width="17.109375" style="245" bestFit="1" customWidth="1"/>
    <col min="7171" max="7171" width="4" style="245" customWidth="1"/>
    <col min="7172" max="7172" width="13.6640625" style="245" customWidth="1"/>
    <col min="7173" max="7414" width="13.6640625" style="245"/>
    <col min="7415" max="7415" width="22.109375" style="245" customWidth="1"/>
    <col min="7416" max="7422" width="13.6640625" style="245" customWidth="1"/>
    <col min="7423" max="7423" width="15.88671875" style="245" customWidth="1"/>
    <col min="7424" max="7424" width="16.5546875" style="245" bestFit="1" customWidth="1"/>
    <col min="7425" max="7425" width="13.6640625" style="245" customWidth="1"/>
    <col min="7426" max="7426" width="17.109375" style="245" bestFit="1" customWidth="1"/>
    <col min="7427" max="7427" width="4" style="245" customWidth="1"/>
    <col min="7428" max="7428" width="13.6640625" style="245" customWidth="1"/>
    <col min="7429" max="7670" width="13.6640625" style="245"/>
    <col min="7671" max="7671" width="22.109375" style="245" customWidth="1"/>
    <col min="7672" max="7678" width="13.6640625" style="245" customWidth="1"/>
    <col min="7679" max="7679" width="15.88671875" style="245" customWidth="1"/>
    <col min="7680" max="7680" width="16.5546875" style="245" bestFit="1" customWidth="1"/>
    <col min="7681" max="7681" width="13.6640625" style="245" customWidth="1"/>
    <col min="7682" max="7682" width="17.109375" style="245" bestFit="1" customWidth="1"/>
    <col min="7683" max="7683" width="4" style="245" customWidth="1"/>
    <col min="7684" max="7684" width="13.6640625" style="245" customWidth="1"/>
    <col min="7685" max="7926" width="13.6640625" style="245"/>
    <col min="7927" max="7927" width="22.109375" style="245" customWidth="1"/>
    <col min="7928" max="7934" width="13.6640625" style="245" customWidth="1"/>
    <col min="7935" max="7935" width="15.88671875" style="245" customWidth="1"/>
    <col min="7936" max="7936" width="16.5546875" style="245" bestFit="1" customWidth="1"/>
    <col min="7937" max="7937" width="13.6640625" style="245" customWidth="1"/>
    <col min="7938" max="7938" width="17.109375" style="245" bestFit="1" customWidth="1"/>
    <col min="7939" max="7939" width="4" style="245" customWidth="1"/>
    <col min="7940" max="7940" width="13.6640625" style="245" customWidth="1"/>
    <col min="7941" max="8182" width="13.6640625" style="245"/>
    <col min="8183" max="8183" width="22.109375" style="245" customWidth="1"/>
    <col min="8184" max="8190" width="13.6640625" style="245" customWidth="1"/>
    <col min="8191" max="8191" width="15.88671875" style="245" customWidth="1"/>
    <col min="8192" max="8192" width="16.5546875" style="245" bestFit="1" customWidth="1"/>
    <col min="8193" max="8193" width="13.6640625" style="245" customWidth="1"/>
    <col min="8194" max="8194" width="17.109375" style="245" bestFit="1" customWidth="1"/>
    <col min="8195" max="8195" width="4" style="245" customWidth="1"/>
    <col min="8196" max="8196" width="13.6640625" style="245" customWidth="1"/>
    <col min="8197" max="8438" width="13.6640625" style="245"/>
    <col min="8439" max="8439" width="22.109375" style="245" customWidth="1"/>
    <col min="8440" max="8446" width="13.6640625" style="245" customWidth="1"/>
    <col min="8447" max="8447" width="15.88671875" style="245" customWidth="1"/>
    <col min="8448" max="8448" width="16.5546875" style="245" bestFit="1" customWidth="1"/>
    <col min="8449" max="8449" width="13.6640625" style="245" customWidth="1"/>
    <col min="8450" max="8450" width="17.109375" style="245" bestFit="1" customWidth="1"/>
    <col min="8451" max="8451" width="4" style="245" customWidth="1"/>
    <col min="8452" max="8452" width="13.6640625" style="245" customWidth="1"/>
    <col min="8453" max="8694" width="13.6640625" style="245"/>
    <col min="8695" max="8695" width="22.109375" style="245" customWidth="1"/>
    <col min="8696" max="8702" width="13.6640625" style="245" customWidth="1"/>
    <col min="8703" max="8703" width="15.88671875" style="245" customWidth="1"/>
    <col min="8704" max="8704" width="16.5546875" style="245" bestFit="1" customWidth="1"/>
    <col min="8705" max="8705" width="13.6640625" style="245" customWidth="1"/>
    <col min="8706" max="8706" width="17.109375" style="245" bestFit="1" customWidth="1"/>
    <col min="8707" max="8707" width="4" style="245" customWidth="1"/>
    <col min="8708" max="8708" width="13.6640625" style="245" customWidth="1"/>
    <col min="8709" max="8950" width="13.6640625" style="245"/>
    <col min="8951" max="8951" width="22.109375" style="245" customWidth="1"/>
    <col min="8952" max="8958" width="13.6640625" style="245" customWidth="1"/>
    <col min="8959" max="8959" width="15.88671875" style="245" customWidth="1"/>
    <col min="8960" max="8960" width="16.5546875" style="245" bestFit="1" customWidth="1"/>
    <col min="8961" max="8961" width="13.6640625" style="245" customWidth="1"/>
    <col min="8962" max="8962" width="17.109375" style="245" bestFit="1" customWidth="1"/>
    <col min="8963" max="8963" width="4" style="245" customWidth="1"/>
    <col min="8964" max="8964" width="13.6640625" style="245" customWidth="1"/>
    <col min="8965" max="9206" width="13.6640625" style="245"/>
    <col min="9207" max="9207" width="22.109375" style="245" customWidth="1"/>
    <col min="9208" max="9214" width="13.6640625" style="245" customWidth="1"/>
    <col min="9215" max="9215" width="15.88671875" style="245" customWidth="1"/>
    <col min="9216" max="9216" width="16.5546875" style="245" bestFit="1" customWidth="1"/>
    <col min="9217" max="9217" width="13.6640625" style="245" customWidth="1"/>
    <col min="9218" max="9218" width="17.109375" style="245" bestFit="1" customWidth="1"/>
    <col min="9219" max="9219" width="4" style="245" customWidth="1"/>
    <col min="9220" max="9220" width="13.6640625" style="245" customWidth="1"/>
    <col min="9221" max="9462" width="13.6640625" style="245"/>
    <col min="9463" max="9463" width="22.109375" style="245" customWidth="1"/>
    <col min="9464" max="9470" width="13.6640625" style="245" customWidth="1"/>
    <col min="9471" max="9471" width="15.88671875" style="245" customWidth="1"/>
    <col min="9472" max="9472" width="16.5546875" style="245" bestFit="1" customWidth="1"/>
    <col min="9473" max="9473" width="13.6640625" style="245" customWidth="1"/>
    <col min="9474" max="9474" width="17.109375" style="245" bestFit="1" customWidth="1"/>
    <col min="9475" max="9475" width="4" style="245" customWidth="1"/>
    <col min="9476" max="9476" width="13.6640625" style="245" customWidth="1"/>
    <col min="9477" max="9718" width="13.6640625" style="245"/>
    <col min="9719" max="9719" width="22.109375" style="245" customWidth="1"/>
    <col min="9720" max="9726" width="13.6640625" style="245" customWidth="1"/>
    <col min="9727" max="9727" width="15.88671875" style="245" customWidth="1"/>
    <col min="9728" max="9728" width="16.5546875" style="245" bestFit="1" customWidth="1"/>
    <col min="9729" max="9729" width="13.6640625" style="245" customWidth="1"/>
    <col min="9730" max="9730" width="17.109375" style="245" bestFit="1" customWidth="1"/>
    <col min="9731" max="9731" width="4" style="245" customWidth="1"/>
    <col min="9732" max="9732" width="13.6640625" style="245" customWidth="1"/>
    <col min="9733" max="9974" width="13.6640625" style="245"/>
    <col min="9975" max="9975" width="22.109375" style="245" customWidth="1"/>
    <col min="9976" max="9982" width="13.6640625" style="245" customWidth="1"/>
    <col min="9983" max="9983" width="15.88671875" style="245" customWidth="1"/>
    <col min="9984" max="9984" width="16.5546875" style="245" bestFit="1" customWidth="1"/>
    <col min="9985" max="9985" width="13.6640625" style="245" customWidth="1"/>
    <col min="9986" max="9986" width="17.109375" style="245" bestFit="1" customWidth="1"/>
    <col min="9987" max="9987" width="4" style="245" customWidth="1"/>
    <col min="9988" max="9988" width="13.6640625" style="245" customWidth="1"/>
    <col min="9989" max="10230" width="13.6640625" style="245"/>
    <col min="10231" max="10231" width="22.109375" style="245" customWidth="1"/>
    <col min="10232" max="10238" width="13.6640625" style="245" customWidth="1"/>
    <col min="10239" max="10239" width="15.88671875" style="245" customWidth="1"/>
    <col min="10240" max="10240" width="16.5546875" style="245" bestFit="1" customWidth="1"/>
    <col min="10241" max="10241" width="13.6640625" style="245" customWidth="1"/>
    <col min="10242" max="10242" width="17.109375" style="245" bestFit="1" customWidth="1"/>
    <col min="10243" max="10243" width="4" style="245" customWidth="1"/>
    <col min="10244" max="10244" width="13.6640625" style="245" customWidth="1"/>
    <col min="10245" max="10486" width="13.6640625" style="245"/>
    <col min="10487" max="10487" width="22.109375" style="245" customWidth="1"/>
    <col min="10488" max="10494" width="13.6640625" style="245" customWidth="1"/>
    <col min="10495" max="10495" width="15.88671875" style="245" customWidth="1"/>
    <col min="10496" max="10496" width="16.5546875" style="245" bestFit="1" customWidth="1"/>
    <col min="10497" max="10497" width="13.6640625" style="245" customWidth="1"/>
    <col min="10498" max="10498" width="17.109375" style="245" bestFit="1" customWidth="1"/>
    <col min="10499" max="10499" width="4" style="245" customWidth="1"/>
    <col min="10500" max="10500" width="13.6640625" style="245" customWidth="1"/>
    <col min="10501" max="10742" width="13.6640625" style="245"/>
    <col min="10743" max="10743" width="22.109375" style="245" customWidth="1"/>
    <col min="10744" max="10750" width="13.6640625" style="245" customWidth="1"/>
    <col min="10751" max="10751" width="15.88671875" style="245" customWidth="1"/>
    <col min="10752" max="10752" width="16.5546875" style="245" bestFit="1" customWidth="1"/>
    <col min="10753" max="10753" width="13.6640625" style="245" customWidth="1"/>
    <col min="10754" max="10754" width="17.109375" style="245" bestFit="1" customWidth="1"/>
    <col min="10755" max="10755" width="4" style="245" customWidth="1"/>
    <col min="10756" max="10756" width="13.6640625" style="245" customWidth="1"/>
    <col min="10757" max="10998" width="13.6640625" style="245"/>
    <col min="10999" max="10999" width="22.109375" style="245" customWidth="1"/>
    <col min="11000" max="11006" width="13.6640625" style="245" customWidth="1"/>
    <col min="11007" max="11007" width="15.88671875" style="245" customWidth="1"/>
    <col min="11008" max="11008" width="16.5546875" style="245" bestFit="1" customWidth="1"/>
    <col min="11009" max="11009" width="13.6640625" style="245" customWidth="1"/>
    <col min="11010" max="11010" width="17.109375" style="245" bestFit="1" customWidth="1"/>
    <col min="11011" max="11011" width="4" style="245" customWidth="1"/>
    <col min="11012" max="11012" width="13.6640625" style="245" customWidth="1"/>
    <col min="11013" max="11254" width="13.6640625" style="245"/>
    <col min="11255" max="11255" width="22.109375" style="245" customWidth="1"/>
    <col min="11256" max="11262" width="13.6640625" style="245" customWidth="1"/>
    <col min="11263" max="11263" width="15.88671875" style="245" customWidth="1"/>
    <col min="11264" max="11264" width="16.5546875" style="245" bestFit="1" customWidth="1"/>
    <col min="11265" max="11265" width="13.6640625" style="245" customWidth="1"/>
    <col min="11266" max="11266" width="17.109375" style="245" bestFit="1" customWidth="1"/>
    <col min="11267" max="11267" width="4" style="245" customWidth="1"/>
    <col min="11268" max="11268" width="13.6640625" style="245" customWidth="1"/>
    <col min="11269" max="11510" width="13.6640625" style="245"/>
    <col min="11511" max="11511" width="22.109375" style="245" customWidth="1"/>
    <col min="11512" max="11518" width="13.6640625" style="245" customWidth="1"/>
    <col min="11519" max="11519" width="15.88671875" style="245" customWidth="1"/>
    <col min="11520" max="11520" width="16.5546875" style="245" bestFit="1" customWidth="1"/>
    <col min="11521" max="11521" width="13.6640625" style="245" customWidth="1"/>
    <col min="11522" max="11522" width="17.109375" style="245" bestFit="1" customWidth="1"/>
    <col min="11523" max="11523" width="4" style="245" customWidth="1"/>
    <col min="11524" max="11524" width="13.6640625" style="245" customWidth="1"/>
    <col min="11525" max="11766" width="13.6640625" style="245"/>
    <col min="11767" max="11767" width="22.109375" style="245" customWidth="1"/>
    <col min="11768" max="11774" width="13.6640625" style="245" customWidth="1"/>
    <col min="11775" max="11775" width="15.88671875" style="245" customWidth="1"/>
    <col min="11776" max="11776" width="16.5546875" style="245" bestFit="1" customWidth="1"/>
    <col min="11777" max="11777" width="13.6640625" style="245" customWidth="1"/>
    <col min="11778" max="11778" width="17.109375" style="245" bestFit="1" customWidth="1"/>
    <col min="11779" max="11779" width="4" style="245" customWidth="1"/>
    <col min="11780" max="11780" width="13.6640625" style="245" customWidth="1"/>
    <col min="11781" max="12022" width="13.6640625" style="245"/>
    <col min="12023" max="12023" width="22.109375" style="245" customWidth="1"/>
    <col min="12024" max="12030" width="13.6640625" style="245" customWidth="1"/>
    <col min="12031" max="12031" width="15.88671875" style="245" customWidth="1"/>
    <col min="12032" max="12032" width="16.5546875" style="245" bestFit="1" customWidth="1"/>
    <col min="12033" max="12033" width="13.6640625" style="245" customWidth="1"/>
    <col min="12034" max="12034" width="17.109375" style="245" bestFit="1" customWidth="1"/>
    <col min="12035" max="12035" width="4" style="245" customWidth="1"/>
    <col min="12036" max="12036" width="13.6640625" style="245" customWidth="1"/>
    <col min="12037" max="12278" width="13.6640625" style="245"/>
    <col min="12279" max="12279" width="22.109375" style="245" customWidth="1"/>
    <col min="12280" max="12286" width="13.6640625" style="245" customWidth="1"/>
    <col min="12287" max="12287" width="15.88671875" style="245" customWidth="1"/>
    <col min="12288" max="12288" width="16.5546875" style="245" bestFit="1" customWidth="1"/>
    <col min="12289" max="12289" width="13.6640625" style="245" customWidth="1"/>
    <col min="12290" max="12290" width="17.109375" style="245" bestFit="1" customWidth="1"/>
    <col min="12291" max="12291" width="4" style="245" customWidth="1"/>
    <col min="12292" max="12292" width="13.6640625" style="245" customWidth="1"/>
    <col min="12293" max="12534" width="13.6640625" style="245"/>
    <col min="12535" max="12535" width="22.109375" style="245" customWidth="1"/>
    <col min="12536" max="12542" width="13.6640625" style="245" customWidth="1"/>
    <col min="12543" max="12543" width="15.88671875" style="245" customWidth="1"/>
    <col min="12544" max="12544" width="16.5546875" style="245" bestFit="1" customWidth="1"/>
    <col min="12545" max="12545" width="13.6640625" style="245" customWidth="1"/>
    <col min="12546" max="12546" width="17.109375" style="245" bestFit="1" customWidth="1"/>
    <col min="12547" max="12547" width="4" style="245" customWidth="1"/>
    <col min="12548" max="12548" width="13.6640625" style="245" customWidth="1"/>
    <col min="12549" max="12790" width="13.6640625" style="245"/>
    <col min="12791" max="12791" width="22.109375" style="245" customWidth="1"/>
    <col min="12792" max="12798" width="13.6640625" style="245" customWidth="1"/>
    <col min="12799" max="12799" width="15.88671875" style="245" customWidth="1"/>
    <col min="12800" max="12800" width="16.5546875" style="245" bestFit="1" customWidth="1"/>
    <col min="12801" max="12801" width="13.6640625" style="245" customWidth="1"/>
    <col min="12802" max="12802" width="17.109375" style="245" bestFit="1" customWidth="1"/>
    <col min="12803" max="12803" width="4" style="245" customWidth="1"/>
    <col min="12804" max="12804" width="13.6640625" style="245" customWidth="1"/>
    <col min="12805" max="13046" width="13.6640625" style="245"/>
    <col min="13047" max="13047" width="22.109375" style="245" customWidth="1"/>
    <col min="13048" max="13054" width="13.6640625" style="245" customWidth="1"/>
    <col min="13055" max="13055" width="15.88671875" style="245" customWidth="1"/>
    <col min="13056" max="13056" width="16.5546875" style="245" bestFit="1" customWidth="1"/>
    <col min="13057" max="13057" width="13.6640625" style="245" customWidth="1"/>
    <col min="13058" max="13058" width="17.109375" style="245" bestFit="1" customWidth="1"/>
    <col min="13059" max="13059" width="4" style="245" customWidth="1"/>
    <col min="13060" max="13060" width="13.6640625" style="245" customWidth="1"/>
    <col min="13061" max="13302" width="13.6640625" style="245"/>
    <col min="13303" max="13303" width="22.109375" style="245" customWidth="1"/>
    <col min="13304" max="13310" width="13.6640625" style="245" customWidth="1"/>
    <col min="13311" max="13311" width="15.88671875" style="245" customWidth="1"/>
    <col min="13312" max="13312" width="16.5546875" style="245" bestFit="1" customWidth="1"/>
    <col min="13313" max="13313" width="13.6640625" style="245" customWidth="1"/>
    <col min="13314" max="13314" width="17.109375" style="245" bestFit="1" customWidth="1"/>
    <col min="13315" max="13315" width="4" style="245" customWidth="1"/>
    <col min="13316" max="13316" width="13.6640625" style="245" customWidth="1"/>
    <col min="13317" max="13558" width="13.6640625" style="245"/>
    <col min="13559" max="13559" width="22.109375" style="245" customWidth="1"/>
    <col min="13560" max="13566" width="13.6640625" style="245" customWidth="1"/>
    <col min="13567" max="13567" width="15.88671875" style="245" customWidth="1"/>
    <col min="13568" max="13568" width="16.5546875" style="245" bestFit="1" customWidth="1"/>
    <col min="13569" max="13569" width="13.6640625" style="245" customWidth="1"/>
    <col min="13570" max="13570" width="17.109375" style="245" bestFit="1" customWidth="1"/>
    <col min="13571" max="13571" width="4" style="245" customWidth="1"/>
    <col min="13572" max="13572" width="13.6640625" style="245" customWidth="1"/>
    <col min="13573" max="13814" width="13.6640625" style="245"/>
    <col min="13815" max="13815" width="22.109375" style="245" customWidth="1"/>
    <col min="13816" max="13822" width="13.6640625" style="245" customWidth="1"/>
    <col min="13823" max="13823" width="15.88671875" style="245" customWidth="1"/>
    <col min="13824" max="13824" width="16.5546875" style="245" bestFit="1" customWidth="1"/>
    <col min="13825" max="13825" width="13.6640625" style="245" customWidth="1"/>
    <col min="13826" max="13826" width="17.109375" style="245" bestFit="1" customWidth="1"/>
    <col min="13827" max="13827" width="4" style="245" customWidth="1"/>
    <col min="13828" max="13828" width="13.6640625" style="245" customWidth="1"/>
    <col min="13829" max="14070" width="13.6640625" style="245"/>
    <col min="14071" max="14071" width="22.109375" style="245" customWidth="1"/>
    <col min="14072" max="14078" width="13.6640625" style="245" customWidth="1"/>
    <col min="14079" max="14079" width="15.88671875" style="245" customWidth="1"/>
    <col min="14080" max="14080" width="16.5546875" style="245" bestFit="1" customWidth="1"/>
    <col min="14081" max="14081" width="13.6640625" style="245" customWidth="1"/>
    <col min="14082" max="14082" width="17.109375" style="245" bestFit="1" customWidth="1"/>
    <col min="14083" max="14083" width="4" style="245" customWidth="1"/>
    <col min="14084" max="14084" width="13.6640625" style="245" customWidth="1"/>
    <col min="14085" max="14326" width="13.6640625" style="245"/>
    <col min="14327" max="14327" width="22.109375" style="245" customWidth="1"/>
    <col min="14328" max="14334" width="13.6640625" style="245" customWidth="1"/>
    <col min="14335" max="14335" width="15.88671875" style="245" customWidth="1"/>
    <col min="14336" max="14336" width="16.5546875" style="245" bestFit="1" customWidth="1"/>
    <col min="14337" max="14337" width="13.6640625" style="245" customWidth="1"/>
    <col min="14338" max="14338" width="17.109375" style="245" bestFit="1" customWidth="1"/>
    <col min="14339" max="14339" width="4" style="245" customWidth="1"/>
    <col min="14340" max="14340" width="13.6640625" style="245" customWidth="1"/>
    <col min="14341" max="14582" width="13.6640625" style="245"/>
    <col min="14583" max="14583" width="22.109375" style="245" customWidth="1"/>
    <col min="14584" max="14590" width="13.6640625" style="245" customWidth="1"/>
    <col min="14591" max="14591" width="15.88671875" style="245" customWidth="1"/>
    <col min="14592" max="14592" width="16.5546875" style="245" bestFit="1" customWidth="1"/>
    <col min="14593" max="14593" width="13.6640625" style="245" customWidth="1"/>
    <col min="14594" max="14594" width="17.109375" style="245" bestFit="1" customWidth="1"/>
    <col min="14595" max="14595" width="4" style="245" customWidth="1"/>
    <col min="14596" max="14596" width="13.6640625" style="245" customWidth="1"/>
    <col min="14597" max="14838" width="13.6640625" style="245"/>
    <col min="14839" max="14839" width="22.109375" style="245" customWidth="1"/>
    <col min="14840" max="14846" width="13.6640625" style="245" customWidth="1"/>
    <col min="14847" max="14847" width="15.88671875" style="245" customWidth="1"/>
    <col min="14848" max="14848" width="16.5546875" style="245" bestFit="1" customWidth="1"/>
    <col min="14849" max="14849" width="13.6640625" style="245" customWidth="1"/>
    <col min="14850" max="14850" width="17.109375" style="245" bestFit="1" customWidth="1"/>
    <col min="14851" max="14851" width="4" style="245" customWidth="1"/>
    <col min="14852" max="14852" width="13.6640625" style="245" customWidth="1"/>
    <col min="14853" max="15094" width="13.6640625" style="245"/>
    <col min="15095" max="15095" width="22.109375" style="245" customWidth="1"/>
    <col min="15096" max="15102" width="13.6640625" style="245" customWidth="1"/>
    <col min="15103" max="15103" width="15.88671875" style="245" customWidth="1"/>
    <col min="15104" max="15104" width="16.5546875" style="245" bestFit="1" customWidth="1"/>
    <col min="15105" max="15105" width="13.6640625" style="245" customWidth="1"/>
    <col min="15106" max="15106" width="17.109375" style="245" bestFit="1" customWidth="1"/>
    <col min="15107" max="15107" width="4" style="245" customWidth="1"/>
    <col min="15108" max="15108" width="13.6640625" style="245" customWidth="1"/>
    <col min="15109" max="15350" width="13.6640625" style="245"/>
    <col min="15351" max="15351" width="22.109375" style="245" customWidth="1"/>
    <col min="15352" max="15358" width="13.6640625" style="245" customWidth="1"/>
    <col min="15359" max="15359" width="15.88671875" style="245" customWidth="1"/>
    <col min="15360" max="15360" width="16.5546875" style="245" bestFit="1" customWidth="1"/>
    <col min="15361" max="15361" width="13.6640625" style="245" customWidth="1"/>
    <col min="15362" max="15362" width="17.109375" style="245" bestFit="1" customWidth="1"/>
    <col min="15363" max="15363" width="4" style="245" customWidth="1"/>
    <col min="15364" max="15364" width="13.6640625" style="245" customWidth="1"/>
    <col min="15365" max="15606" width="13.6640625" style="245"/>
    <col min="15607" max="15607" width="22.109375" style="245" customWidth="1"/>
    <col min="15608" max="15614" width="13.6640625" style="245" customWidth="1"/>
    <col min="15615" max="15615" width="15.88671875" style="245" customWidth="1"/>
    <col min="15616" max="15616" width="16.5546875" style="245" bestFit="1" customWidth="1"/>
    <col min="15617" max="15617" width="13.6640625" style="245" customWidth="1"/>
    <col min="15618" max="15618" width="17.109375" style="245" bestFit="1" customWidth="1"/>
    <col min="15619" max="15619" width="4" style="245" customWidth="1"/>
    <col min="15620" max="15620" width="13.6640625" style="245" customWidth="1"/>
    <col min="15621" max="15862" width="13.6640625" style="245"/>
    <col min="15863" max="15863" width="22.109375" style="245" customWidth="1"/>
    <col min="15864" max="15870" width="13.6640625" style="245" customWidth="1"/>
    <col min="15871" max="15871" width="15.88671875" style="245" customWidth="1"/>
    <col min="15872" max="15872" width="16.5546875" style="245" bestFit="1" customWidth="1"/>
    <col min="15873" max="15873" width="13.6640625" style="245" customWidth="1"/>
    <col min="15874" max="15874" width="17.109375" style="245" bestFit="1" customWidth="1"/>
    <col min="15875" max="15875" width="4" style="245" customWidth="1"/>
    <col min="15876" max="15876" width="13.6640625" style="245" customWidth="1"/>
    <col min="15877" max="16118" width="13.6640625" style="245"/>
    <col min="16119" max="16119" width="22.109375" style="245" customWidth="1"/>
    <col min="16120" max="16126" width="13.6640625" style="245" customWidth="1"/>
    <col min="16127" max="16127" width="15.88671875" style="245" customWidth="1"/>
    <col min="16128" max="16128" width="16.5546875" style="245" bestFit="1" customWidth="1"/>
    <col min="16129" max="16129" width="13.6640625" style="245" customWidth="1"/>
    <col min="16130" max="16130" width="17.109375" style="245" bestFit="1" customWidth="1"/>
    <col min="16131" max="16131" width="4" style="245" customWidth="1"/>
    <col min="16132" max="16132" width="13.6640625" style="245" customWidth="1"/>
    <col min="16133" max="16384" width="13.6640625" style="245"/>
  </cols>
  <sheetData>
    <row r="1" spans="1:25" s="237" customFormat="1">
      <c r="A1" s="283" t="s">
        <v>22</v>
      </c>
      <c r="B1" s="235"/>
      <c r="C1" s="2"/>
      <c r="D1" s="2"/>
      <c r="E1" s="236"/>
      <c r="F1" s="2"/>
      <c r="G1" s="2"/>
    </row>
    <row r="2" spans="1:25" s="237" customFormat="1">
      <c r="A2" s="238"/>
      <c r="B2" s="235"/>
      <c r="D2" s="254" t="s">
        <v>133</v>
      </c>
      <c r="E2" s="254" t="s">
        <v>104</v>
      </c>
      <c r="G2" s="2"/>
    </row>
    <row r="3" spans="1:25" s="237" customFormat="1" ht="15">
      <c r="A3" s="384" t="str">
        <f>'2-Kosten per locatie'!A3</f>
        <v>Naam opdrachtgever</v>
      </c>
      <c r="B3" s="16" t="str">
        <f>'2-Kosten per locatie'!B3</f>
        <v>Stichting Christelijk Onderwijs Haaglanden</v>
      </c>
      <c r="D3" s="239" t="s">
        <v>135</v>
      </c>
      <c r="E3" s="293">
        <v>0</v>
      </c>
      <c r="G3" s="2"/>
    </row>
    <row r="4" spans="1:25" s="237" customFormat="1" ht="15">
      <c r="A4" s="384" t="str">
        <f>'2-Kosten per locatie'!A4</f>
        <v>Calculatie onderdeel</v>
      </c>
      <c r="B4" s="52" t="str">
        <f ca="1">MID(CELL("bestandsnaam",$C$9),SEARCH("]",CELL("bestandsnaam",$C$9),1)+1,256)</f>
        <v>10-Glasbewassing</v>
      </c>
      <c r="D4" s="239" t="s">
        <v>134</v>
      </c>
      <c r="E4" s="293">
        <v>0</v>
      </c>
      <c r="G4" s="2"/>
    </row>
    <row r="5" spans="1:25" s="237" customFormat="1" ht="15">
      <c r="A5" s="384" t="str">
        <f>'2-Kosten per locatie'!A5</f>
        <v>Gebouw/plaats</v>
      </c>
      <c r="B5" s="16" t="str">
        <f>'2-Kosten per locatie'!B5</f>
        <v>Den Haag</v>
      </c>
      <c r="D5" s="250" t="s">
        <v>136</v>
      </c>
      <c r="E5" s="293">
        <v>0</v>
      </c>
      <c r="G5" s="2"/>
      <c r="I5" s="241"/>
      <c r="J5" s="240"/>
      <c r="K5" s="241"/>
      <c r="L5" s="241"/>
      <c r="M5" s="240"/>
      <c r="N5" s="242"/>
      <c r="O5" s="241"/>
      <c r="P5" s="240"/>
      <c r="Q5" s="241"/>
      <c r="R5" s="241"/>
      <c r="S5" s="240"/>
      <c r="T5" s="241"/>
      <c r="U5" s="241"/>
      <c r="V5" s="240"/>
      <c r="W5" s="241"/>
      <c r="X5" s="241"/>
      <c r="Y5" s="240"/>
    </row>
    <row r="6" spans="1:25" s="237" customFormat="1" ht="17.25" customHeight="1">
      <c r="A6" s="384" t="str">
        <f>'2-Kosten per locatie'!A6</f>
        <v>Referentie nummer</v>
      </c>
      <c r="B6" s="16" t="str">
        <f>'2-Kosten per locatie'!B6</f>
        <v>SCOH-EA-DK-RT-2023</v>
      </c>
      <c r="D6" s="239" t="s">
        <v>355</v>
      </c>
      <c r="E6" s="293">
        <v>0</v>
      </c>
      <c r="G6" s="2"/>
      <c r="I6" s="243"/>
      <c r="J6" s="244"/>
      <c r="K6" s="241"/>
      <c r="L6" s="243"/>
      <c r="M6" s="244"/>
      <c r="N6" s="242"/>
      <c r="O6" s="243"/>
      <c r="P6" s="244"/>
      <c r="Q6" s="241"/>
      <c r="R6" s="243"/>
      <c r="S6" s="244"/>
      <c r="T6" s="241"/>
      <c r="U6" s="243"/>
      <c r="V6" s="244"/>
      <c r="W6" s="241"/>
      <c r="X6" s="243"/>
      <c r="Y6" s="244"/>
    </row>
    <row r="7" spans="1:25" s="237" customFormat="1" ht="17.25" customHeight="1">
      <c r="A7" s="384" t="str">
        <f>'2-Kosten per locatie'!A7</f>
        <v>Naam dienstverlener</v>
      </c>
      <c r="B7" s="16">
        <f>'2-Kosten per locatie'!B7</f>
        <v>0</v>
      </c>
      <c r="G7" s="2"/>
    </row>
    <row r="8" spans="1:25" s="237" customFormat="1" ht="17.25" customHeight="1">
      <c r="A8" s="384" t="str">
        <f>'2-Kosten per locatie'!A8</f>
        <v>Prijspeil</v>
      </c>
      <c r="B8" s="405">
        <f>'2-Kosten per locatie'!B8</f>
        <v>45292</v>
      </c>
      <c r="G8" s="2"/>
    </row>
    <row r="9" spans="1:25" s="237" customFormat="1" ht="17.25" customHeight="1">
      <c r="G9" s="240"/>
    </row>
    <row r="10" spans="1:25" s="317" customFormat="1" ht="43.5" customHeight="1">
      <c r="A10" s="315" t="s">
        <v>94</v>
      </c>
      <c r="B10" s="316" t="s">
        <v>133</v>
      </c>
      <c r="C10" s="254" t="s">
        <v>137</v>
      </c>
      <c r="D10" s="316" t="s">
        <v>172</v>
      </c>
      <c r="E10" s="316" t="s">
        <v>96</v>
      </c>
      <c r="F10" s="316" t="s">
        <v>189</v>
      </c>
      <c r="G10" s="316" t="s">
        <v>138</v>
      </c>
    </row>
    <row r="11" spans="1:25">
      <c r="A11" s="423" t="s">
        <v>380</v>
      </c>
      <c r="B11" s="239" t="s">
        <v>135</v>
      </c>
      <c r="C11" s="302">
        <v>204.95</v>
      </c>
      <c r="D11" s="314">
        <f t="shared" ref="D11:D39" si="0">VLOOKUP(B11,$D$3:$E$9,2,FALSE)</f>
        <v>0</v>
      </c>
      <c r="E11" s="247">
        <f>(C11*D11)</f>
        <v>0</v>
      </c>
      <c r="F11" s="248" t="s">
        <v>356</v>
      </c>
      <c r="G11" s="247">
        <f t="shared" ref="G11:G20" si="1">F11*E11</f>
        <v>0</v>
      </c>
    </row>
    <row r="12" spans="1:25">
      <c r="A12" s="423" t="s">
        <v>380</v>
      </c>
      <c r="B12" s="239" t="s">
        <v>134</v>
      </c>
      <c r="C12" s="302">
        <v>204.95</v>
      </c>
      <c r="D12" s="314">
        <f t="shared" si="0"/>
        <v>0</v>
      </c>
      <c r="E12" s="247">
        <f t="shared" ref="E12:E39" si="2">(C12*D12)</f>
        <v>0</v>
      </c>
      <c r="F12" s="248" t="s">
        <v>356</v>
      </c>
      <c r="G12" s="247">
        <f t="shared" si="1"/>
        <v>0</v>
      </c>
    </row>
    <row r="13" spans="1:25">
      <c r="A13" s="423" t="s">
        <v>380</v>
      </c>
      <c r="B13" s="250" t="s">
        <v>136</v>
      </c>
      <c r="C13" s="302">
        <v>43.78</v>
      </c>
      <c r="D13" s="314">
        <f t="shared" si="0"/>
        <v>0</v>
      </c>
      <c r="E13" s="247">
        <f t="shared" si="2"/>
        <v>0</v>
      </c>
      <c r="F13" s="248" t="s">
        <v>356</v>
      </c>
      <c r="G13" s="247">
        <f t="shared" si="1"/>
        <v>0</v>
      </c>
    </row>
    <row r="14" spans="1:25">
      <c r="A14" s="424" t="s">
        <v>395</v>
      </c>
      <c r="B14" s="239" t="s">
        <v>135</v>
      </c>
      <c r="C14" s="302">
        <v>210.89</v>
      </c>
      <c r="D14" s="314">
        <f t="shared" si="0"/>
        <v>0</v>
      </c>
      <c r="E14" s="247">
        <f t="shared" si="2"/>
        <v>0</v>
      </c>
      <c r="F14" s="248" t="s">
        <v>356</v>
      </c>
      <c r="G14" s="247">
        <f t="shared" si="1"/>
        <v>0</v>
      </c>
    </row>
    <row r="15" spans="1:25">
      <c r="A15" s="424" t="s">
        <v>395</v>
      </c>
      <c r="B15" s="250" t="s">
        <v>134</v>
      </c>
      <c r="C15" s="302">
        <v>210.89</v>
      </c>
      <c r="D15" s="314">
        <f t="shared" si="0"/>
        <v>0</v>
      </c>
      <c r="E15" s="247">
        <f t="shared" si="2"/>
        <v>0</v>
      </c>
      <c r="F15" s="248" t="s">
        <v>356</v>
      </c>
      <c r="G15" s="247">
        <f t="shared" si="1"/>
        <v>0</v>
      </c>
    </row>
    <row r="16" spans="1:25">
      <c r="A16" s="424" t="s">
        <v>395</v>
      </c>
      <c r="B16" s="250" t="s">
        <v>136</v>
      </c>
      <c r="C16" s="302">
        <v>77.8</v>
      </c>
      <c r="D16" s="314">
        <f t="shared" si="0"/>
        <v>0</v>
      </c>
      <c r="E16" s="247">
        <f t="shared" si="2"/>
        <v>0</v>
      </c>
      <c r="F16" s="248" t="s">
        <v>356</v>
      </c>
      <c r="G16" s="247">
        <f t="shared" si="1"/>
        <v>0</v>
      </c>
    </row>
    <row r="17" spans="1:7">
      <c r="A17" s="249" t="s">
        <v>395</v>
      </c>
      <c r="B17" s="239" t="s">
        <v>355</v>
      </c>
      <c r="C17" s="302">
        <v>44.4</v>
      </c>
      <c r="D17" s="314">
        <f t="shared" si="0"/>
        <v>0</v>
      </c>
      <c r="E17" s="247">
        <f t="shared" si="2"/>
        <v>0</v>
      </c>
      <c r="F17" s="248" t="s">
        <v>356</v>
      </c>
      <c r="G17" s="247">
        <f t="shared" si="1"/>
        <v>0</v>
      </c>
    </row>
    <row r="18" spans="1:7">
      <c r="A18" s="249" t="s">
        <v>398</v>
      </c>
      <c r="B18" s="239" t="s">
        <v>135</v>
      </c>
      <c r="C18" s="302">
        <v>309.38</v>
      </c>
      <c r="D18" s="314">
        <f t="shared" si="0"/>
        <v>0</v>
      </c>
      <c r="E18" s="247">
        <f t="shared" si="2"/>
        <v>0</v>
      </c>
      <c r="F18" s="248" t="s">
        <v>356</v>
      </c>
      <c r="G18" s="247">
        <f t="shared" si="1"/>
        <v>0</v>
      </c>
    </row>
    <row r="19" spans="1:7">
      <c r="A19" s="249" t="s">
        <v>398</v>
      </c>
      <c r="B19" s="239" t="s">
        <v>134</v>
      </c>
      <c r="C19" s="302">
        <v>309.38</v>
      </c>
      <c r="D19" s="314">
        <f t="shared" si="0"/>
        <v>0</v>
      </c>
      <c r="E19" s="247">
        <f t="shared" si="2"/>
        <v>0</v>
      </c>
      <c r="F19" s="248" t="s">
        <v>356</v>
      </c>
      <c r="G19" s="247">
        <f t="shared" si="1"/>
        <v>0</v>
      </c>
    </row>
    <row r="20" spans="1:7">
      <c r="A20" s="249" t="s">
        <v>398</v>
      </c>
      <c r="B20" s="239" t="s">
        <v>136</v>
      </c>
      <c r="C20" s="302">
        <v>163.72</v>
      </c>
      <c r="D20" s="314">
        <f t="shared" si="0"/>
        <v>0</v>
      </c>
      <c r="E20" s="247">
        <f t="shared" si="2"/>
        <v>0</v>
      </c>
      <c r="F20" s="248" t="s">
        <v>356</v>
      </c>
      <c r="G20" s="247">
        <f t="shared" si="1"/>
        <v>0</v>
      </c>
    </row>
    <row r="21" spans="1:7">
      <c r="A21" s="249" t="s">
        <v>409</v>
      </c>
      <c r="B21" s="250" t="s">
        <v>135</v>
      </c>
      <c r="C21" s="302">
        <v>269.10000000000002</v>
      </c>
      <c r="D21" s="314">
        <f t="shared" si="0"/>
        <v>0</v>
      </c>
      <c r="E21" s="247">
        <f t="shared" si="2"/>
        <v>0</v>
      </c>
      <c r="F21" s="248" t="s">
        <v>356</v>
      </c>
      <c r="G21" s="247">
        <f t="shared" ref="G21:G39" si="3">F21*E21</f>
        <v>0</v>
      </c>
    </row>
    <row r="22" spans="1:7">
      <c r="A22" s="249" t="s">
        <v>409</v>
      </c>
      <c r="B22" s="250" t="s">
        <v>134</v>
      </c>
      <c r="C22" s="302">
        <v>269.10000000000002</v>
      </c>
      <c r="D22" s="314">
        <f t="shared" si="0"/>
        <v>0</v>
      </c>
      <c r="E22" s="247">
        <f t="shared" si="2"/>
        <v>0</v>
      </c>
      <c r="F22" s="248" t="s">
        <v>356</v>
      </c>
      <c r="G22" s="247">
        <f t="shared" si="3"/>
        <v>0</v>
      </c>
    </row>
    <row r="23" spans="1:7">
      <c r="A23" s="249" t="s">
        <v>409</v>
      </c>
      <c r="B23" s="250" t="s">
        <v>136</v>
      </c>
      <c r="C23" s="302">
        <v>79.86</v>
      </c>
      <c r="D23" s="314">
        <f t="shared" si="0"/>
        <v>0</v>
      </c>
      <c r="E23" s="247">
        <f t="shared" si="2"/>
        <v>0</v>
      </c>
      <c r="F23" s="248" t="s">
        <v>356</v>
      </c>
      <c r="G23" s="247">
        <f t="shared" si="3"/>
        <v>0</v>
      </c>
    </row>
    <row r="24" spans="1:7">
      <c r="A24" s="249" t="s">
        <v>409</v>
      </c>
      <c r="B24" s="250" t="s">
        <v>355</v>
      </c>
      <c r="C24" s="302">
        <v>8.9600000000000009</v>
      </c>
      <c r="D24" s="314">
        <f t="shared" si="0"/>
        <v>0</v>
      </c>
      <c r="E24" s="247">
        <f t="shared" si="2"/>
        <v>0</v>
      </c>
      <c r="F24" s="248" t="s">
        <v>356</v>
      </c>
      <c r="G24" s="247">
        <f t="shared" si="3"/>
        <v>0</v>
      </c>
    </row>
    <row r="25" spans="1:7">
      <c r="A25" s="249" t="s">
        <v>416</v>
      </c>
      <c r="B25" s="250" t="s">
        <v>135</v>
      </c>
      <c r="C25" s="302">
        <v>291.08</v>
      </c>
      <c r="D25" s="314">
        <f t="shared" si="0"/>
        <v>0</v>
      </c>
      <c r="E25" s="247">
        <f t="shared" si="2"/>
        <v>0</v>
      </c>
      <c r="F25" s="248" t="s">
        <v>356</v>
      </c>
      <c r="G25" s="247">
        <f t="shared" si="3"/>
        <v>0</v>
      </c>
    </row>
    <row r="26" spans="1:7">
      <c r="A26" s="249" t="s">
        <v>416</v>
      </c>
      <c r="B26" s="250" t="s">
        <v>134</v>
      </c>
      <c r="C26" s="302">
        <v>291.08</v>
      </c>
      <c r="D26" s="314">
        <f t="shared" si="0"/>
        <v>0</v>
      </c>
      <c r="E26" s="247">
        <f t="shared" si="2"/>
        <v>0</v>
      </c>
      <c r="F26" s="248" t="s">
        <v>356</v>
      </c>
      <c r="G26" s="247">
        <f t="shared" si="3"/>
        <v>0</v>
      </c>
    </row>
    <row r="27" spans="1:7">
      <c r="A27" s="249" t="s">
        <v>416</v>
      </c>
      <c r="B27" s="250" t="s">
        <v>136</v>
      </c>
      <c r="C27" s="302">
        <v>259.99</v>
      </c>
      <c r="D27" s="314">
        <f t="shared" si="0"/>
        <v>0</v>
      </c>
      <c r="E27" s="247">
        <f t="shared" si="2"/>
        <v>0</v>
      </c>
      <c r="F27" s="248" t="s">
        <v>356</v>
      </c>
      <c r="G27" s="247">
        <f t="shared" si="3"/>
        <v>0</v>
      </c>
    </row>
    <row r="28" spans="1:7">
      <c r="A28" s="249" t="s">
        <v>419</v>
      </c>
      <c r="B28" s="250" t="s">
        <v>135</v>
      </c>
      <c r="C28" s="302">
        <v>525.1</v>
      </c>
      <c r="D28" s="314">
        <f t="shared" si="0"/>
        <v>0</v>
      </c>
      <c r="E28" s="247">
        <f t="shared" si="2"/>
        <v>0</v>
      </c>
      <c r="F28" s="248" t="s">
        <v>356</v>
      </c>
      <c r="G28" s="247">
        <f t="shared" si="3"/>
        <v>0</v>
      </c>
    </row>
    <row r="29" spans="1:7">
      <c r="A29" s="249" t="s">
        <v>419</v>
      </c>
      <c r="B29" s="250" t="s">
        <v>134</v>
      </c>
      <c r="C29" s="302">
        <v>525.1</v>
      </c>
      <c r="D29" s="314">
        <f t="shared" si="0"/>
        <v>0</v>
      </c>
      <c r="E29" s="247">
        <f t="shared" si="2"/>
        <v>0</v>
      </c>
      <c r="F29" s="248" t="s">
        <v>356</v>
      </c>
      <c r="G29" s="247">
        <f t="shared" si="3"/>
        <v>0</v>
      </c>
    </row>
    <row r="30" spans="1:7">
      <c r="A30" s="249" t="s">
        <v>419</v>
      </c>
      <c r="B30" s="250" t="s">
        <v>136</v>
      </c>
      <c r="C30" s="302">
        <v>94.14</v>
      </c>
      <c r="D30" s="314">
        <f t="shared" si="0"/>
        <v>0</v>
      </c>
      <c r="E30" s="247">
        <f t="shared" si="2"/>
        <v>0</v>
      </c>
      <c r="F30" s="248" t="s">
        <v>356</v>
      </c>
      <c r="G30" s="247">
        <f t="shared" si="3"/>
        <v>0</v>
      </c>
    </row>
    <row r="31" spans="1:7">
      <c r="A31" s="249" t="s">
        <v>421</v>
      </c>
      <c r="B31" s="250" t="s">
        <v>135</v>
      </c>
      <c r="C31" s="302">
        <v>216.62</v>
      </c>
      <c r="D31" s="314">
        <f t="shared" si="0"/>
        <v>0</v>
      </c>
      <c r="E31" s="247">
        <f t="shared" si="2"/>
        <v>0</v>
      </c>
      <c r="F31" s="248" t="s">
        <v>356</v>
      </c>
      <c r="G31" s="247">
        <f t="shared" si="3"/>
        <v>0</v>
      </c>
    </row>
    <row r="32" spans="1:7">
      <c r="A32" s="249" t="s">
        <v>421</v>
      </c>
      <c r="B32" s="250" t="s">
        <v>134</v>
      </c>
      <c r="C32" s="302">
        <v>216.62</v>
      </c>
      <c r="D32" s="314">
        <f t="shared" si="0"/>
        <v>0</v>
      </c>
      <c r="E32" s="247">
        <f t="shared" si="2"/>
        <v>0</v>
      </c>
      <c r="F32" s="248" t="s">
        <v>356</v>
      </c>
      <c r="G32" s="247">
        <f t="shared" si="3"/>
        <v>0</v>
      </c>
    </row>
    <row r="33" spans="1:7">
      <c r="A33" s="249" t="s">
        <v>421</v>
      </c>
      <c r="B33" s="250" t="s">
        <v>136</v>
      </c>
      <c r="C33" s="302">
        <v>47.74</v>
      </c>
      <c r="D33" s="314">
        <f t="shared" si="0"/>
        <v>0</v>
      </c>
      <c r="E33" s="247">
        <f t="shared" si="2"/>
        <v>0</v>
      </c>
      <c r="F33" s="248" t="s">
        <v>356</v>
      </c>
      <c r="G33" s="247">
        <f t="shared" si="3"/>
        <v>0</v>
      </c>
    </row>
    <row r="34" spans="1:7">
      <c r="A34" s="249" t="s">
        <v>423</v>
      </c>
      <c r="B34" s="250" t="s">
        <v>135</v>
      </c>
      <c r="C34" s="302">
        <v>280</v>
      </c>
      <c r="D34" s="314">
        <f t="shared" si="0"/>
        <v>0</v>
      </c>
      <c r="E34" s="247">
        <f t="shared" si="2"/>
        <v>0</v>
      </c>
      <c r="F34" s="248" t="s">
        <v>356</v>
      </c>
      <c r="G34" s="247">
        <f t="shared" si="3"/>
        <v>0</v>
      </c>
    </row>
    <row r="35" spans="1:7">
      <c r="A35" s="424" t="s">
        <v>423</v>
      </c>
      <c r="B35" s="250" t="s">
        <v>134</v>
      </c>
      <c r="C35" s="302">
        <v>280</v>
      </c>
      <c r="D35" s="314">
        <f t="shared" si="0"/>
        <v>0</v>
      </c>
      <c r="E35" s="247">
        <f t="shared" si="2"/>
        <v>0</v>
      </c>
      <c r="F35" s="248" t="s">
        <v>356</v>
      </c>
      <c r="G35" s="247">
        <f t="shared" si="3"/>
        <v>0</v>
      </c>
    </row>
    <row r="36" spans="1:7">
      <c r="A36" s="424" t="s">
        <v>423</v>
      </c>
      <c r="B36" s="250" t="s">
        <v>136</v>
      </c>
      <c r="C36" s="302">
        <v>196</v>
      </c>
      <c r="D36" s="314">
        <f t="shared" si="0"/>
        <v>0</v>
      </c>
      <c r="E36" s="247">
        <f t="shared" si="2"/>
        <v>0</v>
      </c>
      <c r="F36" s="248" t="s">
        <v>356</v>
      </c>
      <c r="G36" s="247">
        <f t="shared" si="3"/>
        <v>0</v>
      </c>
    </row>
    <row r="37" spans="1:7">
      <c r="A37" s="249" t="s">
        <v>527</v>
      </c>
      <c r="B37" s="250" t="s">
        <v>135</v>
      </c>
      <c r="C37" s="302">
        <v>438.82</v>
      </c>
      <c r="D37" s="314">
        <f t="shared" si="0"/>
        <v>0</v>
      </c>
      <c r="E37" s="247">
        <f t="shared" si="2"/>
        <v>0</v>
      </c>
      <c r="F37" s="248" t="s">
        <v>356</v>
      </c>
      <c r="G37" s="247">
        <f t="shared" si="3"/>
        <v>0</v>
      </c>
    </row>
    <row r="38" spans="1:7">
      <c r="A38" s="249" t="s">
        <v>527</v>
      </c>
      <c r="B38" s="250" t="s">
        <v>134</v>
      </c>
      <c r="C38" s="302">
        <v>438.82</v>
      </c>
      <c r="D38" s="314">
        <f t="shared" si="0"/>
        <v>0</v>
      </c>
      <c r="E38" s="247">
        <f t="shared" si="2"/>
        <v>0</v>
      </c>
      <c r="F38" s="248" t="s">
        <v>356</v>
      </c>
      <c r="G38" s="247">
        <f t="shared" si="3"/>
        <v>0</v>
      </c>
    </row>
    <row r="39" spans="1:7">
      <c r="A39" s="249" t="s">
        <v>527</v>
      </c>
      <c r="B39" s="250" t="s">
        <v>136</v>
      </c>
      <c r="C39" s="302">
        <v>136.80000000000001</v>
      </c>
      <c r="D39" s="314">
        <f t="shared" si="0"/>
        <v>0</v>
      </c>
      <c r="E39" s="247">
        <f t="shared" si="2"/>
        <v>0</v>
      </c>
      <c r="F39" s="248" t="s">
        <v>356</v>
      </c>
      <c r="G39" s="247">
        <f t="shared" si="3"/>
        <v>0</v>
      </c>
    </row>
    <row r="40" spans="1:7">
      <c r="B40" s="245"/>
      <c r="D40" s="245"/>
      <c r="E40" s="245"/>
      <c r="F40" s="245"/>
      <c r="G40" s="245"/>
    </row>
    <row r="41" spans="1:7">
      <c r="A41" s="303" t="s">
        <v>9</v>
      </c>
      <c r="B41" s="304"/>
      <c r="C41" s="305">
        <f>SUM(C11:C39)</f>
        <v>6645.07</v>
      </c>
      <c r="D41" s="304"/>
      <c r="E41" s="307"/>
      <c r="F41" s="308"/>
      <c r="G41" s="306">
        <f>SUM(G11:G39)</f>
        <v>0</v>
      </c>
    </row>
  </sheetData>
  <autoFilter ref="A10:Y41" xr:uid="{00000000-0009-0000-0000-00000A000000}"/>
  <printOptions horizontalCentered="1"/>
  <pageMargins left="0.7" right="0.7" top="0.75" bottom="0.75" header="0.3" footer="0.3"/>
  <pageSetup paperSize="9" scale="85"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P38"/>
  <sheetViews>
    <sheetView showGridLines="0" zoomScale="85" zoomScaleNormal="85" zoomScaleSheetLayoutView="50" zoomScalePageLayoutView="50" workbookViewId="0">
      <pane ySplit="10" topLeftCell="A11" activePane="bottomLeft" state="frozen"/>
      <selection activeCell="B1" sqref="B1"/>
      <selection pane="bottomLeft" activeCell="C37" sqref="C37"/>
    </sheetView>
  </sheetViews>
  <sheetFormatPr defaultColWidth="13.6640625" defaultRowHeight="13.2"/>
  <cols>
    <col min="1" max="1" width="46.109375" style="245" customWidth="1"/>
    <col min="2" max="2" width="29.109375" style="251" customWidth="1"/>
    <col min="3" max="3" width="27.5546875" style="251" customWidth="1"/>
    <col min="4" max="4" width="14" style="253" customWidth="1"/>
    <col min="5" max="6" width="16.109375" style="252" customWidth="1"/>
    <col min="7" max="7" width="2.77734375" style="245" customWidth="1"/>
    <col min="8" max="238" width="13.6640625" style="245"/>
    <col min="239" max="239" width="22.109375" style="245" customWidth="1"/>
    <col min="240" max="246" width="13.6640625" style="245" customWidth="1"/>
    <col min="247" max="247" width="15.88671875" style="245" customWidth="1"/>
    <col min="248" max="248" width="16.5546875" style="245" bestFit="1" customWidth="1"/>
    <col min="249" max="249" width="13.6640625" style="245" customWidth="1"/>
    <col min="250" max="250" width="17.109375" style="245" bestFit="1" customWidth="1"/>
    <col min="251" max="251" width="4" style="245" customWidth="1"/>
    <col min="252" max="252" width="13.6640625" style="245" customWidth="1"/>
    <col min="253" max="494" width="13.6640625" style="245"/>
    <col min="495" max="495" width="22.109375" style="245" customWidth="1"/>
    <col min="496" max="502" width="13.6640625" style="245" customWidth="1"/>
    <col min="503" max="503" width="15.88671875" style="245" customWidth="1"/>
    <col min="504" max="504" width="16.5546875" style="245" bestFit="1" customWidth="1"/>
    <col min="505" max="505" width="13.6640625" style="245" customWidth="1"/>
    <col min="506" max="506" width="17.109375" style="245" bestFit="1" customWidth="1"/>
    <col min="507" max="507" width="4" style="245" customWidth="1"/>
    <col min="508" max="508" width="13.6640625" style="245" customWidth="1"/>
    <col min="509" max="750" width="13.6640625" style="245"/>
    <col min="751" max="751" width="22.109375" style="245" customWidth="1"/>
    <col min="752" max="758" width="13.6640625" style="245" customWidth="1"/>
    <col min="759" max="759" width="15.88671875" style="245" customWidth="1"/>
    <col min="760" max="760" width="16.5546875" style="245" bestFit="1" customWidth="1"/>
    <col min="761" max="761" width="13.6640625" style="245" customWidth="1"/>
    <col min="762" max="762" width="17.109375" style="245" bestFit="1" customWidth="1"/>
    <col min="763" max="763" width="4" style="245" customWidth="1"/>
    <col min="764" max="764" width="13.6640625" style="245" customWidth="1"/>
    <col min="765" max="1006" width="13.6640625" style="245"/>
    <col min="1007" max="1007" width="22.109375" style="245" customWidth="1"/>
    <col min="1008" max="1014" width="13.6640625" style="245" customWidth="1"/>
    <col min="1015" max="1015" width="15.88671875" style="245" customWidth="1"/>
    <col min="1016" max="1016" width="16.5546875" style="245" bestFit="1" customWidth="1"/>
    <col min="1017" max="1017" width="13.6640625" style="245" customWidth="1"/>
    <col min="1018" max="1018" width="17.109375" style="245" bestFit="1" customWidth="1"/>
    <col min="1019" max="1019" width="4" style="245" customWidth="1"/>
    <col min="1020" max="1020" width="13.6640625" style="245" customWidth="1"/>
    <col min="1021" max="1262" width="13.6640625" style="245"/>
    <col min="1263" max="1263" width="22.109375" style="245" customWidth="1"/>
    <col min="1264" max="1270" width="13.6640625" style="245" customWidth="1"/>
    <col min="1271" max="1271" width="15.88671875" style="245" customWidth="1"/>
    <col min="1272" max="1272" width="16.5546875" style="245" bestFit="1" customWidth="1"/>
    <col min="1273" max="1273" width="13.6640625" style="245" customWidth="1"/>
    <col min="1274" max="1274" width="17.109375" style="245" bestFit="1" customWidth="1"/>
    <col min="1275" max="1275" width="4" style="245" customWidth="1"/>
    <col min="1276" max="1276" width="13.6640625" style="245" customWidth="1"/>
    <col min="1277" max="1518" width="13.6640625" style="245"/>
    <col min="1519" max="1519" width="22.109375" style="245" customWidth="1"/>
    <col min="1520" max="1526" width="13.6640625" style="245" customWidth="1"/>
    <col min="1527" max="1527" width="15.88671875" style="245" customWidth="1"/>
    <col min="1528" max="1528" width="16.5546875" style="245" bestFit="1" customWidth="1"/>
    <col min="1529" max="1529" width="13.6640625" style="245" customWidth="1"/>
    <col min="1530" max="1530" width="17.109375" style="245" bestFit="1" customWidth="1"/>
    <col min="1531" max="1531" width="4" style="245" customWidth="1"/>
    <col min="1532" max="1532" width="13.6640625" style="245" customWidth="1"/>
    <col min="1533" max="1774" width="13.6640625" style="245"/>
    <col min="1775" max="1775" width="22.109375" style="245" customWidth="1"/>
    <col min="1776" max="1782" width="13.6640625" style="245" customWidth="1"/>
    <col min="1783" max="1783" width="15.88671875" style="245" customWidth="1"/>
    <col min="1784" max="1784" width="16.5546875" style="245" bestFit="1" customWidth="1"/>
    <col min="1785" max="1785" width="13.6640625" style="245" customWidth="1"/>
    <col min="1786" max="1786" width="17.109375" style="245" bestFit="1" customWidth="1"/>
    <col min="1787" max="1787" width="4" style="245" customWidth="1"/>
    <col min="1788" max="1788" width="13.6640625" style="245" customWidth="1"/>
    <col min="1789" max="2030" width="13.6640625" style="245"/>
    <col min="2031" max="2031" width="22.109375" style="245" customWidth="1"/>
    <col min="2032" max="2038" width="13.6640625" style="245" customWidth="1"/>
    <col min="2039" max="2039" width="15.88671875" style="245" customWidth="1"/>
    <col min="2040" max="2040" width="16.5546875" style="245" bestFit="1" customWidth="1"/>
    <col min="2041" max="2041" width="13.6640625" style="245" customWidth="1"/>
    <col min="2042" max="2042" width="17.109375" style="245" bestFit="1" customWidth="1"/>
    <col min="2043" max="2043" width="4" style="245" customWidth="1"/>
    <col min="2044" max="2044" width="13.6640625" style="245" customWidth="1"/>
    <col min="2045" max="2286" width="13.6640625" style="245"/>
    <col min="2287" max="2287" width="22.109375" style="245" customWidth="1"/>
    <col min="2288" max="2294" width="13.6640625" style="245" customWidth="1"/>
    <col min="2295" max="2295" width="15.88671875" style="245" customWidth="1"/>
    <col min="2296" max="2296" width="16.5546875" style="245" bestFit="1" customWidth="1"/>
    <col min="2297" max="2297" width="13.6640625" style="245" customWidth="1"/>
    <col min="2298" max="2298" width="17.109375" style="245" bestFit="1" customWidth="1"/>
    <col min="2299" max="2299" width="4" style="245" customWidth="1"/>
    <col min="2300" max="2300" width="13.6640625" style="245" customWidth="1"/>
    <col min="2301" max="2542" width="13.6640625" style="245"/>
    <col min="2543" max="2543" width="22.109375" style="245" customWidth="1"/>
    <col min="2544" max="2550" width="13.6640625" style="245" customWidth="1"/>
    <col min="2551" max="2551" width="15.88671875" style="245" customWidth="1"/>
    <col min="2552" max="2552" width="16.5546875" style="245" bestFit="1" customWidth="1"/>
    <col min="2553" max="2553" width="13.6640625" style="245" customWidth="1"/>
    <col min="2554" max="2554" width="17.109375" style="245" bestFit="1" customWidth="1"/>
    <col min="2555" max="2555" width="4" style="245" customWidth="1"/>
    <col min="2556" max="2556" width="13.6640625" style="245" customWidth="1"/>
    <col min="2557" max="2798" width="13.6640625" style="245"/>
    <col min="2799" max="2799" width="22.109375" style="245" customWidth="1"/>
    <col min="2800" max="2806" width="13.6640625" style="245" customWidth="1"/>
    <col min="2807" max="2807" width="15.88671875" style="245" customWidth="1"/>
    <col min="2808" max="2808" width="16.5546875" style="245" bestFit="1" customWidth="1"/>
    <col min="2809" max="2809" width="13.6640625" style="245" customWidth="1"/>
    <col min="2810" max="2810" width="17.109375" style="245" bestFit="1" customWidth="1"/>
    <col min="2811" max="2811" width="4" style="245" customWidth="1"/>
    <col min="2812" max="2812" width="13.6640625" style="245" customWidth="1"/>
    <col min="2813" max="3054" width="13.6640625" style="245"/>
    <col min="3055" max="3055" width="22.109375" style="245" customWidth="1"/>
    <col min="3056" max="3062" width="13.6640625" style="245" customWidth="1"/>
    <col min="3063" max="3063" width="15.88671875" style="245" customWidth="1"/>
    <col min="3064" max="3064" width="16.5546875" style="245" bestFit="1" customWidth="1"/>
    <col min="3065" max="3065" width="13.6640625" style="245" customWidth="1"/>
    <col min="3066" max="3066" width="17.109375" style="245" bestFit="1" customWidth="1"/>
    <col min="3067" max="3067" width="4" style="245" customWidth="1"/>
    <col min="3068" max="3068" width="13.6640625" style="245" customWidth="1"/>
    <col min="3069" max="3310" width="13.6640625" style="245"/>
    <col min="3311" max="3311" width="22.109375" style="245" customWidth="1"/>
    <col min="3312" max="3318" width="13.6640625" style="245" customWidth="1"/>
    <col min="3319" max="3319" width="15.88671875" style="245" customWidth="1"/>
    <col min="3320" max="3320" width="16.5546875" style="245" bestFit="1" customWidth="1"/>
    <col min="3321" max="3321" width="13.6640625" style="245" customWidth="1"/>
    <col min="3322" max="3322" width="17.109375" style="245" bestFit="1" customWidth="1"/>
    <col min="3323" max="3323" width="4" style="245" customWidth="1"/>
    <col min="3324" max="3324" width="13.6640625" style="245" customWidth="1"/>
    <col min="3325" max="3566" width="13.6640625" style="245"/>
    <col min="3567" max="3567" width="22.109375" style="245" customWidth="1"/>
    <col min="3568" max="3574" width="13.6640625" style="245" customWidth="1"/>
    <col min="3575" max="3575" width="15.88671875" style="245" customWidth="1"/>
    <col min="3576" max="3576" width="16.5546875" style="245" bestFit="1" customWidth="1"/>
    <col min="3577" max="3577" width="13.6640625" style="245" customWidth="1"/>
    <col min="3578" max="3578" width="17.109375" style="245" bestFit="1" customWidth="1"/>
    <col min="3579" max="3579" width="4" style="245" customWidth="1"/>
    <col min="3580" max="3580" width="13.6640625" style="245" customWidth="1"/>
    <col min="3581" max="3822" width="13.6640625" style="245"/>
    <col min="3823" max="3823" width="22.109375" style="245" customWidth="1"/>
    <col min="3824" max="3830" width="13.6640625" style="245" customWidth="1"/>
    <col min="3831" max="3831" width="15.88671875" style="245" customWidth="1"/>
    <col min="3832" max="3832" width="16.5546875" style="245" bestFit="1" customWidth="1"/>
    <col min="3833" max="3833" width="13.6640625" style="245" customWidth="1"/>
    <col min="3834" max="3834" width="17.109375" style="245" bestFit="1" customWidth="1"/>
    <col min="3835" max="3835" width="4" style="245" customWidth="1"/>
    <col min="3836" max="3836" width="13.6640625" style="245" customWidth="1"/>
    <col min="3837" max="4078" width="13.6640625" style="245"/>
    <col min="4079" max="4079" width="22.109375" style="245" customWidth="1"/>
    <col min="4080" max="4086" width="13.6640625" style="245" customWidth="1"/>
    <col min="4087" max="4087" width="15.88671875" style="245" customWidth="1"/>
    <col min="4088" max="4088" width="16.5546875" style="245" bestFit="1" customWidth="1"/>
    <col min="4089" max="4089" width="13.6640625" style="245" customWidth="1"/>
    <col min="4090" max="4090" width="17.109375" style="245" bestFit="1" customWidth="1"/>
    <col min="4091" max="4091" width="4" style="245" customWidth="1"/>
    <col min="4092" max="4092" width="13.6640625" style="245" customWidth="1"/>
    <col min="4093" max="4334" width="13.6640625" style="245"/>
    <col min="4335" max="4335" width="22.109375" style="245" customWidth="1"/>
    <col min="4336" max="4342" width="13.6640625" style="245" customWidth="1"/>
    <col min="4343" max="4343" width="15.88671875" style="245" customWidth="1"/>
    <col min="4344" max="4344" width="16.5546875" style="245" bestFit="1" customWidth="1"/>
    <col min="4345" max="4345" width="13.6640625" style="245" customWidth="1"/>
    <col min="4346" max="4346" width="17.109375" style="245" bestFit="1" customWidth="1"/>
    <col min="4347" max="4347" width="4" style="245" customWidth="1"/>
    <col min="4348" max="4348" width="13.6640625" style="245" customWidth="1"/>
    <col min="4349" max="4590" width="13.6640625" style="245"/>
    <col min="4591" max="4591" width="22.109375" style="245" customWidth="1"/>
    <col min="4592" max="4598" width="13.6640625" style="245" customWidth="1"/>
    <col min="4599" max="4599" width="15.88671875" style="245" customWidth="1"/>
    <col min="4600" max="4600" width="16.5546875" style="245" bestFit="1" customWidth="1"/>
    <col min="4601" max="4601" width="13.6640625" style="245" customWidth="1"/>
    <col min="4602" max="4602" width="17.109375" style="245" bestFit="1" customWidth="1"/>
    <col min="4603" max="4603" width="4" style="245" customWidth="1"/>
    <col min="4604" max="4604" width="13.6640625" style="245" customWidth="1"/>
    <col min="4605" max="4846" width="13.6640625" style="245"/>
    <col min="4847" max="4847" width="22.109375" style="245" customWidth="1"/>
    <col min="4848" max="4854" width="13.6640625" style="245" customWidth="1"/>
    <col min="4855" max="4855" width="15.88671875" style="245" customWidth="1"/>
    <col min="4856" max="4856" width="16.5546875" style="245" bestFit="1" customWidth="1"/>
    <col min="4857" max="4857" width="13.6640625" style="245" customWidth="1"/>
    <col min="4858" max="4858" width="17.109375" style="245" bestFit="1" customWidth="1"/>
    <col min="4859" max="4859" width="4" style="245" customWidth="1"/>
    <col min="4860" max="4860" width="13.6640625" style="245" customWidth="1"/>
    <col min="4861" max="5102" width="13.6640625" style="245"/>
    <col min="5103" max="5103" width="22.109375" style="245" customWidth="1"/>
    <col min="5104" max="5110" width="13.6640625" style="245" customWidth="1"/>
    <col min="5111" max="5111" width="15.88671875" style="245" customWidth="1"/>
    <col min="5112" max="5112" width="16.5546875" style="245" bestFit="1" customWidth="1"/>
    <col min="5113" max="5113" width="13.6640625" style="245" customWidth="1"/>
    <col min="5114" max="5114" width="17.109375" style="245" bestFit="1" customWidth="1"/>
    <col min="5115" max="5115" width="4" style="245" customWidth="1"/>
    <col min="5116" max="5116" width="13.6640625" style="245" customWidth="1"/>
    <col min="5117" max="5358" width="13.6640625" style="245"/>
    <col min="5359" max="5359" width="22.109375" style="245" customWidth="1"/>
    <col min="5360" max="5366" width="13.6640625" style="245" customWidth="1"/>
    <col min="5367" max="5367" width="15.88671875" style="245" customWidth="1"/>
    <col min="5368" max="5368" width="16.5546875" style="245" bestFit="1" customWidth="1"/>
    <col min="5369" max="5369" width="13.6640625" style="245" customWidth="1"/>
    <col min="5370" max="5370" width="17.109375" style="245" bestFit="1" customWidth="1"/>
    <col min="5371" max="5371" width="4" style="245" customWidth="1"/>
    <col min="5372" max="5372" width="13.6640625" style="245" customWidth="1"/>
    <col min="5373" max="5614" width="13.6640625" style="245"/>
    <col min="5615" max="5615" width="22.109375" style="245" customWidth="1"/>
    <col min="5616" max="5622" width="13.6640625" style="245" customWidth="1"/>
    <col min="5623" max="5623" width="15.88671875" style="245" customWidth="1"/>
    <col min="5624" max="5624" width="16.5546875" style="245" bestFit="1" customWidth="1"/>
    <col min="5625" max="5625" width="13.6640625" style="245" customWidth="1"/>
    <col min="5626" max="5626" width="17.109375" style="245" bestFit="1" customWidth="1"/>
    <col min="5627" max="5627" width="4" style="245" customWidth="1"/>
    <col min="5628" max="5628" width="13.6640625" style="245" customWidth="1"/>
    <col min="5629" max="5870" width="13.6640625" style="245"/>
    <col min="5871" max="5871" width="22.109375" style="245" customWidth="1"/>
    <col min="5872" max="5878" width="13.6640625" style="245" customWidth="1"/>
    <col min="5879" max="5879" width="15.88671875" style="245" customWidth="1"/>
    <col min="5880" max="5880" width="16.5546875" style="245" bestFit="1" customWidth="1"/>
    <col min="5881" max="5881" width="13.6640625" style="245" customWidth="1"/>
    <col min="5882" max="5882" width="17.109375" style="245" bestFit="1" customWidth="1"/>
    <col min="5883" max="5883" width="4" style="245" customWidth="1"/>
    <col min="5884" max="5884" width="13.6640625" style="245" customWidth="1"/>
    <col min="5885" max="6126" width="13.6640625" style="245"/>
    <col min="6127" max="6127" width="22.109375" style="245" customWidth="1"/>
    <col min="6128" max="6134" width="13.6640625" style="245" customWidth="1"/>
    <col min="6135" max="6135" width="15.88671875" style="245" customWidth="1"/>
    <col min="6136" max="6136" width="16.5546875" style="245" bestFit="1" customWidth="1"/>
    <col min="6137" max="6137" width="13.6640625" style="245" customWidth="1"/>
    <col min="6138" max="6138" width="17.109375" style="245" bestFit="1" customWidth="1"/>
    <col min="6139" max="6139" width="4" style="245" customWidth="1"/>
    <col min="6140" max="6140" width="13.6640625" style="245" customWidth="1"/>
    <col min="6141" max="6382" width="13.6640625" style="245"/>
    <col min="6383" max="6383" width="22.109375" style="245" customWidth="1"/>
    <col min="6384" max="6390" width="13.6640625" style="245" customWidth="1"/>
    <col min="6391" max="6391" width="15.88671875" style="245" customWidth="1"/>
    <col min="6392" max="6392" width="16.5546875" style="245" bestFit="1" customWidth="1"/>
    <col min="6393" max="6393" width="13.6640625" style="245" customWidth="1"/>
    <col min="6394" max="6394" width="17.109375" style="245" bestFit="1" customWidth="1"/>
    <col min="6395" max="6395" width="4" style="245" customWidth="1"/>
    <col min="6396" max="6396" width="13.6640625" style="245" customWidth="1"/>
    <col min="6397" max="6638" width="13.6640625" style="245"/>
    <col min="6639" max="6639" width="22.109375" style="245" customWidth="1"/>
    <col min="6640" max="6646" width="13.6640625" style="245" customWidth="1"/>
    <col min="6647" max="6647" width="15.88671875" style="245" customWidth="1"/>
    <col min="6648" max="6648" width="16.5546875" style="245" bestFit="1" customWidth="1"/>
    <col min="6649" max="6649" width="13.6640625" style="245" customWidth="1"/>
    <col min="6650" max="6650" width="17.109375" style="245" bestFit="1" customWidth="1"/>
    <col min="6651" max="6651" width="4" style="245" customWidth="1"/>
    <col min="6652" max="6652" width="13.6640625" style="245" customWidth="1"/>
    <col min="6653" max="6894" width="13.6640625" style="245"/>
    <col min="6895" max="6895" width="22.109375" style="245" customWidth="1"/>
    <col min="6896" max="6902" width="13.6640625" style="245" customWidth="1"/>
    <col min="6903" max="6903" width="15.88671875" style="245" customWidth="1"/>
    <col min="6904" max="6904" width="16.5546875" style="245" bestFit="1" customWidth="1"/>
    <col min="6905" max="6905" width="13.6640625" style="245" customWidth="1"/>
    <col min="6906" max="6906" width="17.109375" style="245" bestFit="1" customWidth="1"/>
    <col min="6907" max="6907" width="4" style="245" customWidth="1"/>
    <col min="6908" max="6908" width="13.6640625" style="245" customWidth="1"/>
    <col min="6909" max="7150" width="13.6640625" style="245"/>
    <col min="7151" max="7151" width="22.109375" style="245" customWidth="1"/>
    <col min="7152" max="7158" width="13.6640625" style="245" customWidth="1"/>
    <col min="7159" max="7159" width="15.88671875" style="245" customWidth="1"/>
    <col min="7160" max="7160" width="16.5546875" style="245" bestFit="1" customWidth="1"/>
    <col min="7161" max="7161" width="13.6640625" style="245" customWidth="1"/>
    <col min="7162" max="7162" width="17.109375" style="245" bestFit="1" customWidth="1"/>
    <col min="7163" max="7163" width="4" style="245" customWidth="1"/>
    <col min="7164" max="7164" width="13.6640625" style="245" customWidth="1"/>
    <col min="7165" max="7406" width="13.6640625" style="245"/>
    <col min="7407" max="7407" width="22.109375" style="245" customWidth="1"/>
    <col min="7408" max="7414" width="13.6640625" style="245" customWidth="1"/>
    <col min="7415" max="7415" width="15.88671875" style="245" customWidth="1"/>
    <col min="7416" max="7416" width="16.5546875" style="245" bestFit="1" customWidth="1"/>
    <col min="7417" max="7417" width="13.6640625" style="245" customWidth="1"/>
    <col min="7418" max="7418" width="17.109375" style="245" bestFit="1" customWidth="1"/>
    <col min="7419" max="7419" width="4" style="245" customWidth="1"/>
    <col min="7420" max="7420" width="13.6640625" style="245" customWidth="1"/>
    <col min="7421" max="7662" width="13.6640625" style="245"/>
    <col min="7663" max="7663" width="22.109375" style="245" customWidth="1"/>
    <col min="7664" max="7670" width="13.6640625" style="245" customWidth="1"/>
    <col min="7671" max="7671" width="15.88671875" style="245" customWidth="1"/>
    <col min="7672" max="7672" width="16.5546875" style="245" bestFit="1" customWidth="1"/>
    <col min="7673" max="7673" width="13.6640625" style="245" customWidth="1"/>
    <col min="7674" max="7674" width="17.109375" style="245" bestFit="1" customWidth="1"/>
    <col min="7675" max="7675" width="4" style="245" customWidth="1"/>
    <col min="7676" max="7676" width="13.6640625" style="245" customWidth="1"/>
    <col min="7677" max="7918" width="13.6640625" style="245"/>
    <col min="7919" max="7919" width="22.109375" style="245" customWidth="1"/>
    <col min="7920" max="7926" width="13.6640625" style="245" customWidth="1"/>
    <col min="7927" max="7927" width="15.88671875" style="245" customWidth="1"/>
    <col min="7928" max="7928" width="16.5546875" style="245" bestFit="1" customWidth="1"/>
    <col min="7929" max="7929" width="13.6640625" style="245" customWidth="1"/>
    <col min="7930" max="7930" width="17.109375" style="245" bestFit="1" customWidth="1"/>
    <col min="7931" max="7931" width="4" style="245" customWidth="1"/>
    <col min="7932" max="7932" width="13.6640625" style="245" customWidth="1"/>
    <col min="7933" max="8174" width="13.6640625" style="245"/>
    <col min="8175" max="8175" width="22.109375" style="245" customWidth="1"/>
    <col min="8176" max="8182" width="13.6640625" style="245" customWidth="1"/>
    <col min="8183" max="8183" width="15.88671875" style="245" customWidth="1"/>
    <col min="8184" max="8184" width="16.5546875" style="245" bestFit="1" customWidth="1"/>
    <col min="8185" max="8185" width="13.6640625" style="245" customWidth="1"/>
    <col min="8186" max="8186" width="17.109375" style="245" bestFit="1" customWidth="1"/>
    <col min="8187" max="8187" width="4" style="245" customWidth="1"/>
    <col min="8188" max="8188" width="13.6640625" style="245" customWidth="1"/>
    <col min="8189" max="8430" width="13.6640625" style="245"/>
    <col min="8431" max="8431" width="22.109375" style="245" customWidth="1"/>
    <col min="8432" max="8438" width="13.6640625" style="245" customWidth="1"/>
    <col min="8439" max="8439" width="15.88671875" style="245" customWidth="1"/>
    <col min="8440" max="8440" width="16.5546875" style="245" bestFit="1" customWidth="1"/>
    <col min="8441" max="8441" width="13.6640625" style="245" customWidth="1"/>
    <col min="8442" max="8442" width="17.109375" style="245" bestFit="1" customWidth="1"/>
    <col min="8443" max="8443" width="4" style="245" customWidth="1"/>
    <col min="8444" max="8444" width="13.6640625" style="245" customWidth="1"/>
    <col min="8445" max="8686" width="13.6640625" style="245"/>
    <col min="8687" max="8687" width="22.109375" style="245" customWidth="1"/>
    <col min="8688" max="8694" width="13.6640625" style="245" customWidth="1"/>
    <col min="8695" max="8695" width="15.88671875" style="245" customWidth="1"/>
    <col min="8696" max="8696" width="16.5546875" style="245" bestFit="1" customWidth="1"/>
    <col min="8697" max="8697" width="13.6640625" style="245" customWidth="1"/>
    <col min="8698" max="8698" width="17.109375" style="245" bestFit="1" customWidth="1"/>
    <col min="8699" max="8699" width="4" style="245" customWidth="1"/>
    <col min="8700" max="8700" width="13.6640625" style="245" customWidth="1"/>
    <col min="8701" max="8942" width="13.6640625" style="245"/>
    <col min="8943" max="8943" width="22.109375" style="245" customWidth="1"/>
    <col min="8944" max="8950" width="13.6640625" style="245" customWidth="1"/>
    <col min="8951" max="8951" width="15.88671875" style="245" customWidth="1"/>
    <col min="8952" max="8952" width="16.5546875" style="245" bestFit="1" customWidth="1"/>
    <col min="8953" max="8953" width="13.6640625" style="245" customWidth="1"/>
    <col min="8954" max="8954" width="17.109375" style="245" bestFit="1" customWidth="1"/>
    <col min="8955" max="8955" width="4" style="245" customWidth="1"/>
    <col min="8956" max="8956" width="13.6640625" style="245" customWidth="1"/>
    <col min="8957" max="9198" width="13.6640625" style="245"/>
    <col min="9199" max="9199" width="22.109375" style="245" customWidth="1"/>
    <col min="9200" max="9206" width="13.6640625" style="245" customWidth="1"/>
    <col min="9207" max="9207" width="15.88671875" style="245" customWidth="1"/>
    <col min="9208" max="9208" width="16.5546875" style="245" bestFit="1" customWidth="1"/>
    <col min="9209" max="9209" width="13.6640625" style="245" customWidth="1"/>
    <col min="9210" max="9210" width="17.109375" style="245" bestFit="1" customWidth="1"/>
    <col min="9211" max="9211" width="4" style="245" customWidth="1"/>
    <col min="9212" max="9212" width="13.6640625" style="245" customWidth="1"/>
    <col min="9213" max="9454" width="13.6640625" style="245"/>
    <col min="9455" max="9455" width="22.109375" style="245" customWidth="1"/>
    <col min="9456" max="9462" width="13.6640625" style="245" customWidth="1"/>
    <col min="9463" max="9463" width="15.88671875" style="245" customWidth="1"/>
    <col min="9464" max="9464" width="16.5546875" style="245" bestFit="1" customWidth="1"/>
    <col min="9465" max="9465" width="13.6640625" style="245" customWidth="1"/>
    <col min="9466" max="9466" width="17.109375" style="245" bestFit="1" customWidth="1"/>
    <col min="9467" max="9467" width="4" style="245" customWidth="1"/>
    <col min="9468" max="9468" width="13.6640625" style="245" customWidth="1"/>
    <col min="9469" max="9710" width="13.6640625" style="245"/>
    <col min="9711" max="9711" width="22.109375" style="245" customWidth="1"/>
    <col min="9712" max="9718" width="13.6640625" style="245" customWidth="1"/>
    <col min="9719" max="9719" width="15.88671875" style="245" customWidth="1"/>
    <col min="9720" max="9720" width="16.5546875" style="245" bestFit="1" customWidth="1"/>
    <col min="9721" max="9721" width="13.6640625" style="245" customWidth="1"/>
    <col min="9722" max="9722" width="17.109375" style="245" bestFit="1" customWidth="1"/>
    <col min="9723" max="9723" width="4" style="245" customWidth="1"/>
    <col min="9724" max="9724" width="13.6640625" style="245" customWidth="1"/>
    <col min="9725" max="9966" width="13.6640625" style="245"/>
    <col min="9967" max="9967" width="22.109375" style="245" customWidth="1"/>
    <col min="9968" max="9974" width="13.6640625" style="245" customWidth="1"/>
    <col min="9975" max="9975" width="15.88671875" style="245" customWidth="1"/>
    <col min="9976" max="9976" width="16.5546875" style="245" bestFit="1" customWidth="1"/>
    <col min="9977" max="9977" width="13.6640625" style="245" customWidth="1"/>
    <col min="9978" max="9978" width="17.109375" style="245" bestFit="1" customWidth="1"/>
    <col min="9979" max="9979" width="4" style="245" customWidth="1"/>
    <col min="9980" max="9980" width="13.6640625" style="245" customWidth="1"/>
    <col min="9981" max="10222" width="13.6640625" style="245"/>
    <col min="10223" max="10223" width="22.109375" style="245" customWidth="1"/>
    <col min="10224" max="10230" width="13.6640625" style="245" customWidth="1"/>
    <col min="10231" max="10231" width="15.88671875" style="245" customWidth="1"/>
    <col min="10232" max="10232" width="16.5546875" style="245" bestFit="1" customWidth="1"/>
    <col min="10233" max="10233" width="13.6640625" style="245" customWidth="1"/>
    <col min="10234" max="10234" width="17.109375" style="245" bestFit="1" customWidth="1"/>
    <col min="10235" max="10235" width="4" style="245" customWidth="1"/>
    <col min="10236" max="10236" width="13.6640625" style="245" customWidth="1"/>
    <col min="10237" max="10478" width="13.6640625" style="245"/>
    <col min="10479" max="10479" width="22.109375" style="245" customWidth="1"/>
    <col min="10480" max="10486" width="13.6640625" style="245" customWidth="1"/>
    <col min="10487" max="10487" width="15.88671875" style="245" customWidth="1"/>
    <col min="10488" max="10488" width="16.5546875" style="245" bestFit="1" customWidth="1"/>
    <col min="10489" max="10489" width="13.6640625" style="245" customWidth="1"/>
    <col min="10490" max="10490" width="17.109375" style="245" bestFit="1" customWidth="1"/>
    <col min="10491" max="10491" width="4" style="245" customWidth="1"/>
    <col min="10492" max="10492" width="13.6640625" style="245" customWidth="1"/>
    <col min="10493" max="10734" width="13.6640625" style="245"/>
    <col min="10735" max="10735" width="22.109375" style="245" customWidth="1"/>
    <col min="10736" max="10742" width="13.6640625" style="245" customWidth="1"/>
    <col min="10743" max="10743" width="15.88671875" style="245" customWidth="1"/>
    <col min="10744" max="10744" width="16.5546875" style="245" bestFit="1" customWidth="1"/>
    <col min="10745" max="10745" width="13.6640625" style="245" customWidth="1"/>
    <col min="10746" max="10746" width="17.109375" style="245" bestFit="1" customWidth="1"/>
    <col min="10747" max="10747" width="4" style="245" customWidth="1"/>
    <col min="10748" max="10748" width="13.6640625" style="245" customWidth="1"/>
    <col min="10749" max="10990" width="13.6640625" style="245"/>
    <col min="10991" max="10991" width="22.109375" style="245" customWidth="1"/>
    <col min="10992" max="10998" width="13.6640625" style="245" customWidth="1"/>
    <col min="10999" max="10999" width="15.88671875" style="245" customWidth="1"/>
    <col min="11000" max="11000" width="16.5546875" style="245" bestFit="1" customWidth="1"/>
    <col min="11001" max="11001" width="13.6640625" style="245" customWidth="1"/>
    <col min="11002" max="11002" width="17.109375" style="245" bestFit="1" customWidth="1"/>
    <col min="11003" max="11003" width="4" style="245" customWidth="1"/>
    <col min="11004" max="11004" width="13.6640625" style="245" customWidth="1"/>
    <col min="11005" max="11246" width="13.6640625" style="245"/>
    <col min="11247" max="11247" width="22.109375" style="245" customWidth="1"/>
    <col min="11248" max="11254" width="13.6640625" style="245" customWidth="1"/>
    <col min="11255" max="11255" width="15.88671875" style="245" customWidth="1"/>
    <col min="11256" max="11256" width="16.5546875" style="245" bestFit="1" customWidth="1"/>
    <col min="11257" max="11257" width="13.6640625" style="245" customWidth="1"/>
    <col min="11258" max="11258" width="17.109375" style="245" bestFit="1" customWidth="1"/>
    <col min="11259" max="11259" width="4" style="245" customWidth="1"/>
    <col min="11260" max="11260" width="13.6640625" style="245" customWidth="1"/>
    <col min="11261" max="11502" width="13.6640625" style="245"/>
    <col min="11503" max="11503" width="22.109375" style="245" customWidth="1"/>
    <col min="11504" max="11510" width="13.6640625" style="245" customWidth="1"/>
    <col min="11511" max="11511" width="15.88671875" style="245" customWidth="1"/>
    <col min="11512" max="11512" width="16.5546875" style="245" bestFit="1" customWidth="1"/>
    <col min="11513" max="11513" width="13.6640625" style="245" customWidth="1"/>
    <col min="11514" max="11514" width="17.109375" style="245" bestFit="1" customWidth="1"/>
    <col min="11515" max="11515" width="4" style="245" customWidth="1"/>
    <col min="11516" max="11516" width="13.6640625" style="245" customWidth="1"/>
    <col min="11517" max="11758" width="13.6640625" style="245"/>
    <col min="11759" max="11759" width="22.109375" style="245" customWidth="1"/>
    <col min="11760" max="11766" width="13.6640625" style="245" customWidth="1"/>
    <col min="11767" max="11767" width="15.88671875" style="245" customWidth="1"/>
    <col min="11768" max="11768" width="16.5546875" style="245" bestFit="1" customWidth="1"/>
    <col min="11769" max="11769" width="13.6640625" style="245" customWidth="1"/>
    <col min="11770" max="11770" width="17.109375" style="245" bestFit="1" customWidth="1"/>
    <col min="11771" max="11771" width="4" style="245" customWidth="1"/>
    <col min="11772" max="11772" width="13.6640625" style="245" customWidth="1"/>
    <col min="11773" max="12014" width="13.6640625" style="245"/>
    <col min="12015" max="12015" width="22.109375" style="245" customWidth="1"/>
    <col min="12016" max="12022" width="13.6640625" style="245" customWidth="1"/>
    <col min="12023" max="12023" width="15.88671875" style="245" customWidth="1"/>
    <col min="12024" max="12024" width="16.5546875" style="245" bestFit="1" customWidth="1"/>
    <col min="12025" max="12025" width="13.6640625" style="245" customWidth="1"/>
    <col min="12026" max="12026" width="17.109375" style="245" bestFit="1" customWidth="1"/>
    <col min="12027" max="12027" width="4" style="245" customWidth="1"/>
    <col min="12028" max="12028" width="13.6640625" style="245" customWidth="1"/>
    <col min="12029" max="12270" width="13.6640625" style="245"/>
    <col min="12271" max="12271" width="22.109375" style="245" customWidth="1"/>
    <col min="12272" max="12278" width="13.6640625" style="245" customWidth="1"/>
    <col min="12279" max="12279" width="15.88671875" style="245" customWidth="1"/>
    <col min="12280" max="12280" width="16.5546875" style="245" bestFit="1" customWidth="1"/>
    <col min="12281" max="12281" width="13.6640625" style="245" customWidth="1"/>
    <col min="12282" max="12282" width="17.109375" style="245" bestFit="1" customWidth="1"/>
    <col min="12283" max="12283" width="4" style="245" customWidth="1"/>
    <col min="12284" max="12284" width="13.6640625" style="245" customWidth="1"/>
    <col min="12285" max="12526" width="13.6640625" style="245"/>
    <col min="12527" max="12527" width="22.109375" style="245" customWidth="1"/>
    <col min="12528" max="12534" width="13.6640625" style="245" customWidth="1"/>
    <col min="12535" max="12535" width="15.88671875" style="245" customWidth="1"/>
    <col min="12536" max="12536" width="16.5546875" style="245" bestFit="1" customWidth="1"/>
    <col min="12537" max="12537" width="13.6640625" style="245" customWidth="1"/>
    <col min="12538" max="12538" width="17.109375" style="245" bestFit="1" customWidth="1"/>
    <col min="12539" max="12539" width="4" style="245" customWidth="1"/>
    <col min="12540" max="12540" width="13.6640625" style="245" customWidth="1"/>
    <col min="12541" max="12782" width="13.6640625" style="245"/>
    <col min="12783" max="12783" width="22.109375" style="245" customWidth="1"/>
    <col min="12784" max="12790" width="13.6640625" style="245" customWidth="1"/>
    <col min="12791" max="12791" width="15.88671875" style="245" customWidth="1"/>
    <col min="12792" max="12792" width="16.5546875" style="245" bestFit="1" customWidth="1"/>
    <col min="12793" max="12793" width="13.6640625" style="245" customWidth="1"/>
    <col min="12794" max="12794" width="17.109375" style="245" bestFit="1" customWidth="1"/>
    <col min="12795" max="12795" width="4" style="245" customWidth="1"/>
    <col min="12796" max="12796" width="13.6640625" style="245" customWidth="1"/>
    <col min="12797" max="13038" width="13.6640625" style="245"/>
    <col min="13039" max="13039" width="22.109375" style="245" customWidth="1"/>
    <col min="13040" max="13046" width="13.6640625" style="245" customWidth="1"/>
    <col min="13047" max="13047" width="15.88671875" style="245" customWidth="1"/>
    <col min="13048" max="13048" width="16.5546875" style="245" bestFit="1" customWidth="1"/>
    <col min="13049" max="13049" width="13.6640625" style="245" customWidth="1"/>
    <col min="13050" max="13050" width="17.109375" style="245" bestFit="1" customWidth="1"/>
    <col min="13051" max="13051" width="4" style="245" customWidth="1"/>
    <col min="13052" max="13052" width="13.6640625" style="245" customWidth="1"/>
    <col min="13053" max="13294" width="13.6640625" style="245"/>
    <col min="13295" max="13295" width="22.109375" style="245" customWidth="1"/>
    <col min="13296" max="13302" width="13.6640625" style="245" customWidth="1"/>
    <col min="13303" max="13303" width="15.88671875" style="245" customWidth="1"/>
    <col min="13304" max="13304" width="16.5546875" style="245" bestFit="1" customWidth="1"/>
    <col min="13305" max="13305" width="13.6640625" style="245" customWidth="1"/>
    <col min="13306" max="13306" width="17.109375" style="245" bestFit="1" customWidth="1"/>
    <col min="13307" max="13307" width="4" style="245" customWidth="1"/>
    <col min="13308" max="13308" width="13.6640625" style="245" customWidth="1"/>
    <col min="13309" max="13550" width="13.6640625" style="245"/>
    <col min="13551" max="13551" width="22.109375" style="245" customWidth="1"/>
    <col min="13552" max="13558" width="13.6640625" style="245" customWidth="1"/>
    <col min="13559" max="13559" width="15.88671875" style="245" customWidth="1"/>
    <col min="13560" max="13560" width="16.5546875" style="245" bestFit="1" customWidth="1"/>
    <col min="13561" max="13561" width="13.6640625" style="245" customWidth="1"/>
    <col min="13562" max="13562" width="17.109375" style="245" bestFit="1" customWidth="1"/>
    <col min="13563" max="13563" width="4" style="245" customWidth="1"/>
    <col min="13564" max="13564" width="13.6640625" style="245" customWidth="1"/>
    <col min="13565" max="13806" width="13.6640625" style="245"/>
    <col min="13807" max="13807" width="22.109375" style="245" customWidth="1"/>
    <col min="13808" max="13814" width="13.6640625" style="245" customWidth="1"/>
    <col min="13815" max="13815" width="15.88671875" style="245" customWidth="1"/>
    <col min="13816" max="13816" width="16.5546875" style="245" bestFit="1" customWidth="1"/>
    <col min="13817" max="13817" width="13.6640625" style="245" customWidth="1"/>
    <col min="13818" max="13818" width="17.109375" style="245" bestFit="1" customWidth="1"/>
    <col min="13819" max="13819" width="4" style="245" customWidth="1"/>
    <col min="13820" max="13820" width="13.6640625" style="245" customWidth="1"/>
    <col min="13821" max="14062" width="13.6640625" style="245"/>
    <col min="14063" max="14063" width="22.109375" style="245" customWidth="1"/>
    <col min="14064" max="14070" width="13.6640625" style="245" customWidth="1"/>
    <col min="14071" max="14071" width="15.88671875" style="245" customWidth="1"/>
    <col min="14072" max="14072" width="16.5546875" style="245" bestFit="1" customWidth="1"/>
    <col min="14073" max="14073" width="13.6640625" style="245" customWidth="1"/>
    <col min="14074" max="14074" width="17.109375" style="245" bestFit="1" customWidth="1"/>
    <col min="14075" max="14075" width="4" style="245" customWidth="1"/>
    <col min="14076" max="14076" width="13.6640625" style="245" customWidth="1"/>
    <col min="14077" max="14318" width="13.6640625" style="245"/>
    <col min="14319" max="14319" width="22.109375" style="245" customWidth="1"/>
    <col min="14320" max="14326" width="13.6640625" style="245" customWidth="1"/>
    <col min="14327" max="14327" width="15.88671875" style="245" customWidth="1"/>
    <col min="14328" max="14328" width="16.5546875" style="245" bestFit="1" customWidth="1"/>
    <col min="14329" max="14329" width="13.6640625" style="245" customWidth="1"/>
    <col min="14330" max="14330" width="17.109375" style="245" bestFit="1" customWidth="1"/>
    <col min="14331" max="14331" width="4" style="245" customWidth="1"/>
    <col min="14332" max="14332" width="13.6640625" style="245" customWidth="1"/>
    <col min="14333" max="14574" width="13.6640625" style="245"/>
    <col min="14575" max="14575" width="22.109375" style="245" customWidth="1"/>
    <col min="14576" max="14582" width="13.6640625" style="245" customWidth="1"/>
    <col min="14583" max="14583" width="15.88671875" style="245" customWidth="1"/>
    <col min="14584" max="14584" width="16.5546875" style="245" bestFit="1" customWidth="1"/>
    <col min="14585" max="14585" width="13.6640625" style="245" customWidth="1"/>
    <col min="14586" max="14586" width="17.109375" style="245" bestFit="1" customWidth="1"/>
    <col min="14587" max="14587" width="4" style="245" customWidth="1"/>
    <col min="14588" max="14588" width="13.6640625" style="245" customWidth="1"/>
    <col min="14589" max="14830" width="13.6640625" style="245"/>
    <col min="14831" max="14831" width="22.109375" style="245" customWidth="1"/>
    <col min="14832" max="14838" width="13.6640625" style="245" customWidth="1"/>
    <col min="14839" max="14839" width="15.88671875" style="245" customWidth="1"/>
    <col min="14840" max="14840" width="16.5546875" style="245" bestFit="1" customWidth="1"/>
    <col min="14841" max="14841" width="13.6640625" style="245" customWidth="1"/>
    <col min="14842" max="14842" width="17.109375" style="245" bestFit="1" customWidth="1"/>
    <col min="14843" max="14843" width="4" style="245" customWidth="1"/>
    <col min="14844" max="14844" width="13.6640625" style="245" customWidth="1"/>
    <col min="14845" max="15086" width="13.6640625" style="245"/>
    <col min="15087" max="15087" width="22.109375" style="245" customWidth="1"/>
    <col min="15088" max="15094" width="13.6640625" style="245" customWidth="1"/>
    <col min="15095" max="15095" width="15.88671875" style="245" customWidth="1"/>
    <col min="15096" max="15096" width="16.5546875" style="245" bestFit="1" customWidth="1"/>
    <col min="15097" max="15097" width="13.6640625" style="245" customWidth="1"/>
    <col min="15098" max="15098" width="17.109375" style="245" bestFit="1" customWidth="1"/>
    <col min="15099" max="15099" width="4" style="245" customWidth="1"/>
    <col min="15100" max="15100" width="13.6640625" style="245" customWidth="1"/>
    <col min="15101" max="15342" width="13.6640625" style="245"/>
    <col min="15343" max="15343" width="22.109375" style="245" customWidth="1"/>
    <col min="15344" max="15350" width="13.6640625" style="245" customWidth="1"/>
    <col min="15351" max="15351" width="15.88671875" style="245" customWidth="1"/>
    <col min="15352" max="15352" width="16.5546875" style="245" bestFit="1" customWidth="1"/>
    <col min="15353" max="15353" width="13.6640625" style="245" customWidth="1"/>
    <col min="15354" max="15354" width="17.109375" style="245" bestFit="1" customWidth="1"/>
    <col min="15355" max="15355" width="4" style="245" customWidth="1"/>
    <col min="15356" max="15356" width="13.6640625" style="245" customWidth="1"/>
    <col min="15357" max="15598" width="13.6640625" style="245"/>
    <col min="15599" max="15599" width="22.109375" style="245" customWidth="1"/>
    <col min="15600" max="15606" width="13.6640625" style="245" customWidth="1"/>
    <col min="15607" max="15607" width="15.88671875" style="245" customWidth="1"/>
    <col min="15608" max="15608" width="16.5546875" style="245" bestFit="1" customWidth="1"/>
    <col min="15609" max="15609" width="13.6640625" style="245" customWidth="1"/>
    <col min="15610" max="15610" width="17.109375" style="245" bestFit="1" customWidth="1"/>
    <col min="15611" max="15611" width="4" style="245" customWidth="1"/>
    <col min="15612" max="15612" width="13.6640625" style="245" customWidth="1"/>
    <col min="15613" max="15854" width="13.6640625" style="245"/>
    <col min="15855" max="15855" width="22.109375" style="245" customWidth="1"/>
    <col min="15856" max="15862" width="13.6640625" style="245" customWidth="1"/>
    <col min="15863" max="15863" width="15.88671875" style="245" customWidth="1"/>
    <col min="15864" max="15864" width="16.5546875" style="245" bestFit="1" customWidth="1"/>
    <col min="15865" max="15865" width="13.6640625" style="245" customWidth="1"/>
    <col min="15866" max="15866" width="17.109375" style="245" bestFit="1" customWidth="1"/>
    <col min="15867" max="15867" width="4" style="245" customWidth="1"/>
    <col min="15868" max="15868" width="13.6640625" style="245" customWidth="1"/>
    <col min="15869" max="16110" width="13.6640625" style="245"/>
    <col min="16111" max="16111" width="22.109375" style="245" customWidth="1"/>
    <col min="16112" max="16118" width="13.6640625" style="245" customWidth="1"/>
    <col min="16119" max="16119" width="15.88671875" style="245" customWidth="1"/>
    <col min="16120" max="16120" width="16.5546875" style="245" bestFit="1" customWidth="1"/>
    <col min="16121" max="16121" width="13.6640625" style="245" customWidth="1"/>
    <col min="16122" max="16122" width="17.109375" style="245" bestFit="1" customWidth="1"/>
    <col min="16123" max="16123" width="4" style="245" customWidth="1"/>
    <col min="16124" max="16124" width="13.6640625" style="245" customWidth="1"/>
    <col min="16125" max="16384" width="13.6640625" style="245"/>
  </cols>
  <sheetData>
    <row r="1" spans="1:16" s="237" customFormat="1">
      <c r="A1" s="283" t="s">
        <v>22</v>
      </c>
      <c r="B1" s="235"/>
      <c r="C1" s="235"/>
      <c r="D1" s="2"/>
      <c r="E1" s="236"/>
      <c r="F1" s="236"/>
    </row>
    <row r="2" spans="1:16" s="237" customFormat="1" ht="13.2" customHeight="1">
      <c r="A2" s="238"/>
      <c r="B2" s="235"/>
      <c r="C2" s="235"/>
    </row>
    <row r="3" spans="1:16" s="237" customFormat="1" ht="15">
      <c r="A3" s="384" t="str">
        <f>'2-Kosten per locatie'!A3</f>
        <v>Naam opdrachtgever</v>
      </c>
      <c r="B3" s="16" t="str">
        <f>'2-Kosten per locatie'!B3</f>
        <v>Stichting Christelijk Onderwijs Haaglanden</v>
      </c>
      <c r="C3" s="16"/>
    </row>
    <row r="4" spans="1:16" s="237" customFormat="1" ht="15">
      <c r="A4" s="384" t="str">
        <f>'2-Kosten per locatie'!A4</f>
        <v>Calculatie onderdeel</v>
      </c>
      <c r="B4" s="16" t="str">
        <f ca="1">MID(CELL("bestandsnaam",$C$9),SEARCH("]",CELL("bestandsnaam",$C$9),1)+1,256)</f>
        <v>11-Sanitaire voorzieningen</v>
      </c>
      <c r="C4" s="16"/>
    </row>
    <row r="5" spans="1:16" s="237" customFormat="1" ht="15">
      <c r="A5" s="384" t="str">
        <f>'2-Kosten per locatie'!A5</f>
        <v>Gebouw/plaats</v>
      </c>
      <c r="B5" s="16" t="str">
        <f>'2-Kosten per locatie'!B5</f>
        <v>Den Haag</v>
      </c>
      <c r="C5" s="16"/>
      <c r="H5" s="241"/>
      <c r="I5" s="241"/>
      <c r="J5" s="240"/>
      <c r="K5" s="241"/>
      <c r="L5" s="241"/>
      <c r="M5" s="240"/>
      <c r="N5" s="241"/>
      <c r="O5" s="241"/>
      <c r="P5" s="240"/>
    </row>
    <row r="6" spans="1:16" s="237" customFormat="1" ht="17.25" customHeight="1">
      <c r="A6" s="384" t="str">
        <f>'2-Kosten per locatie'!A6</f>
        <v>Referentie nummer</v>
      </c>
      <c r="B6" s="16" t="str">
        <f>'2-Kosten per locatie'!B6</f>
        <v>SCOH-EA-DK-RT-2023</v>
      </c>
      <c r="C6" s="16"/>
      <c r="H6" s="241"/>
      <c r="I6" s="243"/>
      <c r="J6" s="244"/>
      <c r="K6" s="241"/>
      <c r="L6" s="243"/>
      <c r="M6" s="244"/>
      <c r="N6" s="241"/>
      <c r="O6" s="243"/>
      <c r="P6" s="244"/>
    </row>
    <row r="7" spans="1:16" s="237" customFormat="1" ht="17.25" customHeight="1">
      <c r="A7" s="384" t="str">
        <f>'2-Kosten per locatie'!A7</f>
        <v>Naam dienstverlener</v>
      </c>
      <c r="B7" s="16">
        <f>'2-Kosten per locatie'!B7</f>
        <v>0</v>
      </c>
      <c r="C7" s="185"/>
    </row>
    <row r="8" spans="1:16" s="237" customFormat="1" ht="17.25" customHeight="1">
      <c r="A8" s="384" t="str">
        <f>'2-Kosten per locatie'!A8</f>
        <v>Prijspeil</v>
      </c>
      <c r="B8" s="405">
        <f>'2-Kosten per locatie'!B8</f>
        <v>45292</v>
      </c>
      <c r="C8" s="27"/>
    </row>
    <row r="9" spans="1:16" s="237" customFormat="1" ht="17.25" customHeight="1">
      <c r="D9" s="498" t="s">
        <v>370</v>
      </c>
      <c r="E9" s="499"/>
      <c r="F9" s="500"/>
    </row>
    <row r="10" spans="1:16" s="317" customFormat="1" ht="43.5" customHeight="1">
      <c r="A10" s="315" t="s">
        <v>221</v>
      </c>
      <c r="B10" s="315" t="s">
        <v>365</v>
      </c>
      <c r="C10" s="316" t="s">
        <v>369</v>
      </c>
      <c r="D10" s="412" t="s">
        <v>371</v>
      </c>
      <c r="E10" s="412" t="s">
        <v>372</v>
      </c>
      <c r="F10" s="412" t="s">
        <v>373</v>
      </c>
    </row>
    <row r="11" spans="1:16" s="446" customFormat="1">
      <c r="A11" s="443" t="s">
        <v>357</v>
      </c>
      <c r="B11" s="444" t="s">
        <v>366</v>
      </c>
      <c r="C11" s="468"/>
      <c r="D11" s="445">
        <v>0</v>
      </c>
      <c r="E11" s="445">
        <v>0</v>
      </c>
      <c r="F11" s="445">
        <v>0</v>
      </c>
    </row>
    <row r="12" spans="1:16">
      <c r="A12" s="246" t="s">
        <v>358</v>
      </c>
      <c r="B12" s="410" t="s">
        <v>366</v>
      </c>
      <c r="C12" s="469"/>
      <c r="D12" s="442">
        <v>0</v>
      </c>
      <c r="E12" s="442">
        <v>0</v>
      </c>
      <c r="F12" s="442">
        <v>0</v>
      </c>
    </row>
    <row r="13" spans="1:16">
      <c r="A13" s="246" t="s">
        <v>359</v>
      </c>
      <c r="B13" s="410" t="s">
        <v>366</v>
      </c>
      <c r="C13" s="470"/>
      <c r="D13" s="442">
        <v>0</v>
      </c>
      <c r="E13" s="442">
        <v>0</v>
      </c>
      <c r="F13" s="442">
        <v>0</v>
      </c>
    </row>
    <row r="14" spans="1:16">
      <c r="A14" s="246" t="s">
        <v>360</v>
      </c>
      <c r="B14" s="410" t="s">
        <v>366</v>
      </c>
      <c r="C14" s="469"/>
      <c r="D14" s="442">
        <v>0</v>
      </c>
      <c r="E14" s="442">
        <v>0</v>
      </c>
      <c r="F14" s="442">
        <v>0</v>
      </c>
    </row>
    <row r="15" spans="1:16">
      <c r="A15" s="246" t="s">
        <v>361</v>
      </c>
      <c r="B15" s="410" t="s">
        <v>367</v>
      </c>
      <c r="C15" s="469"/>
      <c r="D15" s="442">
        <v>0</v>
      </c>
      <c r="E15" s="442">
        <v>0</v>
      </c>
      <c r="F15" s="442">
        <v>0</v>
      </c>
    </row>
    <row r="16" spans="1:16">
      <c r="A16" s="246" t="s">
        <v>362</v>
      </c>
      <c r="B16" s="409" t="s">
        <v>366</v>
      </c>
      <c r="C16" s="470"/>
      <c r="D16" s="442">
        <v>0</v>
      </c>
      <c r="E16" s="442">
        <v>0</v>
      </c>
      <c r="F16" s="442">
        <v>0</v>
      </c>
    </row>
    <row r="17" spans="1:6">
      <c r="A17" s="246" t="s">
        <v>363</v>
      </c>
      <c r="B17" s="411" t="s">
        <v>368</v>
      </c>
      <c r="C17" s="470"/>
      <c r="D17" s="442">
        <v>0</v>
      </c>
      <c r="E17" s="442">
        <v>0</v>
      </c>
      <c r="F17" s="442">
        <v>0</v>
      </c>
    </row>
    <row r="18" spans="1:6">
      <c r="A18" s="246" t="s">
        <v>364</v>
      </c>
      <c r="B18" s="411" t="s">
        <v>367</v>
      </c>
      <c r="C18" s="469"/>
      <c r="D18" s="442">
        <v>0</v>
      </c>
      <c r="E18" s="442">
        <v>0</v>
      </c>
      <c r="F18" s="442">
        <v>0</v>
      </c>
    </row>
    <row r="19" spans="1:6">
      <c r="A19" s="246" t="s">
        <v>377</v>
      </c>
      <c r="B19" s="411" t="s">
        <v>368</v>
      </c>
      <c r="C19" s="469"/>
      <c r="D19" s="442">
        <v>0</v>
      </c>
      <c r="E19" s="442">
        <v>0</v>
      </c>
      <c r="F19" s="442">
        <v>0</v>
      </c>
    </row>
    <row r="20" spans="1:6">
      <c r="A20" s="246" t="s">
        <v>378</v>
      </c>
      <c r="B20" s="411" t="s">
        <v>368</v>
      </c>
      <c r="C20" s="469"/>
      <c r="D20" s="442">
        <v>0</v>
      </c>
      <c r="E20" s="442">
        <v>0</v>
      </c>
      <c r="F20" s="442">
        <v>0</v>
      </c>
    </row>
    <row r="21" spans="1:6">
      <c r="A21" s="249" t="s">
        <v>597</v>
      </c>
      <c r="B21" s="239" t="s">
        <v>366</v>
      </c>
      <c r="C21" s="469"/>
      <c r="D21" s="442">
        <v>0</v>
      </c>
      <c r="E21" s="442">
        <v>0</v>
      </c>
      <c r="F21" s="442">
        <v>0</v>
      </c>
    </row>
    <row r="22" spans="1:6">
      <c r="A22" s="249" t="s">
        <v>598</v>
      </c>
      <c r="B22" s="239" t="s">
        <v>366</v>
      </c>
      <c r="C22" s="469"/>
      <c r="D22" s="442">
        <v>0</v>
      </c>
      <c r="E22" s="442">
        <v>0</v>
      </c>
      <c r="F22" s="442">
        <v>0</v>
      </c>
    </row>
    <row r="23" spans="1:6">
      <c r="A23" s="249" t="s">
        <v>599</v>
      </c>
      <c r="B23" s="250" t="s">
        <v>366</v>
      </c>
      <c r="C23" s="470"/>
      <c r="D23" s="442">
        <v>0</v>
      </c>
      <c r="E23" s="442">
        <v>0</v>
      </c>
      <c r="F23" s="442">
        <v>0</v>
      </c>
    </row>
    <row r="24" spans="1:6">
      <c r="A24" s="249" t="s">
        <v>600</v>
      </c>
      <c r="B24" s="239" t="s">
        <v>367</v>
      </c>
      <c r="C24" s="469"/>
      <c r="D24" s="442">
        <v>0</v>
      </c>
      <c r="E24" s="442">
        <v>0</v>
      </c>
      <c r="F24" s="442">
        <v>0</v>
      </c>
    </row>
    <row r="25" spans="1:6">
      <c r="A25" s="249" t="s">
        <v>601</v>
      </c>
      <c r="B25" s="239" t="s">
        <v>367</v>
      </c>
      <c r="C25" s="469"/>
      <c r="D25" s="442">
        <v>0</v>
      </c>
      <c r="E25" s="442">
        <v>0</v>
      </c>
      <c r="F25" s="442">
        <v>0</v>
      </c>
    </row>
    <row r="26" spans="1:6" s="453" customFormat="1" ht="26.4">
      <c r="A26" s="451" t="s">
        <v>603</v>
      </c>
      <c r="B26" s="452" t="s">
        <v>367</v>
      </c>
      <c r="C26" s="468"/>
      <c r="D26" s="445">
        <v>0</v>
      </c>
      <c r="E26" s="445">
        <v>0</v>
      </c>
      <c r="F26" s="445">
        <v>0</v>
      </c>
    </row>
    <row r="27" spans="1:6" s="453" customFormat="1" ht="26.4">
      <c r="A27" s="451" t="s">
        <v>604</v>
      </c>
      <c r="B27" s="452" t="s">
        <v>367</v>
      </c>
      <c r="C27" s="468"/>
      <c r="D27" s="445">
        <v>0</v>
      </c>
      <c r="E27" s="445">
        <v>0</v>
      </c>
      <c r="F27" s="445">
        <v>0</v>
      </c>
    </row>
    <row r="28" spans="1:6">
      <c r="A28" s="409" t="s">
        <v>605</v>
      </c>
      <c r="B28" s="437" t="s">
        <v>367</v>
      </c>
      <c r="C28" s="471"/>
      <c r="D28" s="450">
        <v>0</v>
      </c>
      <c r="E28" s="450">
        <v>0</v>
      </c>
      <c r="F28" s="450">
        <v>0</v>
      </c>
    </row>
    <row r="29" spans="1:6">
      <c r="A29" s="409" t="s">
        <v>602</v>
      </c>
      <c r="B29" s="437" t="s">
        <v>367</v>
      </c>
      <c r="C29" s="471"/>
      <c r="D29" s="450">
        <v>0</v>
      </c>
      <c r="E29" s="450">
        <v>0</v>
      </c>
      <c r="F29" s="450">
        <v>0</v>
      </c>
    </row>
    <row r="30" spans="1:6">
      <c r="A30" s="409" t="s">
        <v>606</v>
      </c>
      <c r="B30" s="437" t="s">
        <v>367</v>
      </c>
      <c r="C30" s="471"/>
      <c r="D30" s="450">
        <v>0</v>
      </c>
      <c r="E30" s="450">
        <v>0</v>
      </c>
      <c r="F30" s="450">
        <v>0</v>
      </c>
    </row>
    <row r="31" spans="1:6">
      <c r="A31" s="409"/>
      <c r="B31" s="437"/>
      <c r="C31" s="437"/>
      <c r="D31" s="437"/>
      <c r="E31" s="437"/>
      <c r="F31" s="437"/>
    </row>
    <row r="32" spans="1:6">
      <c r="A32" s="246" t="s">
        <v>375</v>
      </c>
      <c r="B32" s="411" t="s">
        <v>376</v>
      </c>
      <c r="C32" s="250" t="s">
        <v>222</v>
      </c>
      <c r="D32" s="442">
        <v>0</v>
      </c>
      <c r="E32" s="442">
        <v>0</v>
      </c>
      <c r="F32" s="442">
        <v>0</v>
      </c>
    </row>
    <row r="33" spans="1:6">
      <c r="A33" s="249"/>
      <c r="B33" s="239"/>
      <c r="C33" s="239"/>
      <c r="D33" s="314"/>
      <c r="E33" s="247"/>
      <c r="F33" s="247"/>
    </row>
    <row r="34" spans="1:6">
      <c r="A34" s="409" t="s">
        <v>612</v>
      </c>
      <c r="B34" s="471"/>
      <c r="C34" s="437" t="s">
        <v>222</v>
      </c>
      <c r="D34" s="450"/>
      <c r="E34" s="472"/>
      <c r="F34" s="472"/>
    </row>
    <row r="35" spans="1:6">
      <c r="A35" s="409" t="s">
        <v>613</v>
      </c>
      <c r="B35" s="471"/>
      <c r="C35" s="437" t="s">
        <v>222</v>
      </c>
      <c r="D35" s="450"/>
      <c r="E35" s="472"/>
      <c r="F35" s="472"/>
    </row>
    <row r="36" spans="1:6">
      <c r="A36" s="249"/>
      <c r="B36" s="239"/>
      <c r="C36" s="239"/>
      <c r="D36" s="314"/>
      <c r="E36" s="247"/>
      <c r="F36" s="247"/>
    </row>
    <row r="38" spans="1:6">
      <c r="A38" s="447" t="s">
        <v>374</v>
      </c>
    </row>
  </sheetData>
  <autoFilter ref="A10:Q36" xr:uid="{00000000-0009-0000-0000-00000A000000}"/>
  <mergeCells count="1">
    <mergeCell ref="D9:F9"/>
  </mergeCells>
  <printOptions horizontalCentered="1"/>
  <pageMargins left="0.7" right="0.7" top="0.75" bottom="0.75" header="0.3" footer="0.3"/>
  <pageSetup paperSize="9" scale="89"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E23"/>
  <sheetViews>
    <sheetView showGridLines="0" showZeros="0" tabSelected="1" zoomScaleNormal="100" workbookViewId="0">
      <pane xSplit="1" ySplit="12" topLeftCell="B13" activePane="bottomRight" state="frozen"/>
      <selection pane="topRight" activeCell="B1" sqref="B1"/>
      <selection pane="bottomLeft" activeCell="A12" sqref="A12"/>
      <selection pane="bottomRight" activeCell="E15" sqref="E15"/>
    </sheetView>
  </sheetViews>
  <sheetFormatPr defaultColWidth="8.6640625" defaultRowHeight="14.1" customHeight="1"/>
  <cols>
    <col min="1" max="1" width="53.21875" style="17" customWidth="1"/>
    <col min="2" max="3" width="16" style="17" customWidth="1"/>
    <col min="4" max="5" width="13.6640625" style="24" customWidth="1"/>
    <col min="6" max="6" width="14.5546875" style="24" customWidth="1"/>
    <col min="7" max="11" width="13.6640625" style="24" customWidth="1"/>
    <col min="12" max="12" width="15.5546875" style="24" customWidth="1"/>
    <col min="13" max="13" width="13.6640625" style="24" customWidth="1"/>
    <col min="14" max="14" width="15" style="24" customWidth="1"/>
    <col min="15" max="16" width="13.6640625" style="24" customWidth="1"/>
    <col min="17" max="17" width="16.5546875" style="24" customWidth="1"/>
    <col min="18" max="18" width="15.21875" style="24" customWidth="1"/>
    <col min="19" max="21" width="13.6640625" style="24" customWidth="1"/>
    <col min="22" max="26" width="13.33203125" style="24" customWidth="1"/>
    <col min="27" max="27" width="14.77734375" style="24" customWidth="1"/>
    <col min="28" max="31" width="13.33203125" style="24" customWidth="1"/>
    <col min="32" max="16384" width="8.6640625" style="17"/>
  </cols>
  <sheetData>
    <row r="1" spans="1:31" ht="14.1" customHeight="1">
      <c r="A1" s="281" t="s">
        <v>22</v>
      </c>
      <c r="E1" s="364" t="s">
        <v>195</v>
      </c>
      <c r="F1" s="365"/>
      <c r="G1" s="18"/>
      <c r="H1" s="390" t="s">
        <v>194</v>
      </c>
      <c r="I1" s="359"/>
      <c r="J1" s="359"/>
      <c r="K1" s="359"/>
      <c r="L1" s="359"/>
      <c r="M1" s="360"/>
      <c r="N1" s="396" t="e">
        <f>R23</f>
        <v>#DIV/0!</v>
      </c>
      <c r="AD1" s="17"/>
      <c r="AE1" s="17"/>
    </row>
    <row r="2" spans="1:31" ht="14.1" customHeight="1">
      <c r="E2" s="366">
        <v>0</v>
      </c>
      <c r="F2" s="367" t="s">
        <v>196</v>
      </c>
      <c r="G2" s="18"/>
      <c r="H2" s="391" t="s">
        <v>10</v>
      </c>
      <c r="I2" s="392"/>
      <c r="J2" s="392"/>
      <c r="K2" s="392"/>
      <c r="L2" s="392"/>
      <c r="M2" s="393">
        <v>0.21</v>
      </c>
      <c r="N2" s="394" t="e">
        <f>M2*N1</f>
        <v>#DIV/0!</v>
      </c>
      <c r="AD2" s="17"/>
      <c r="AE2" s="17"/>
    </row>
    <row r="3" spans="1:31" ht="14.1" customHeight="1">
      <c r="A3" s="26" t="s">
        <v>26</v>
      </c>
      <c r="B3" s="403" t="s">
        <v>610</v>
      </c>
      <c r="C3" s="457"/>
      <c r="D3" s="18"/>
      <c r="E3" s="18"/>
      <c r="G3" s="18"/>
      <c r="H3" s="391" t="s">
        <v>23</v>
      </c>
      <c r="I3" s="392"/>
      <c r="J3" s="392"/>
      <c r="K3" s="392"/>
      <c r="L3" s="392"/>
      <c r="M3" s="392"/>
      <c r="N3" s="395" t="e">
        <f>N1+N2</f>
        <v>#DIV/0!</v>
      </c>
      <c r="AB3" s="18"/>
      <c r="AC3" s="18"/>
      <c r="AD3" s="17"/>
      <c r="AE3" s="17"/>
    </row>
    <row r="4" spans="1:31" ht="14.1" customHeight="1">
      <c r="A4" s="26" t="s">
        <v>14</v>
      </c>
      <c r="B4" s="403" t="str">
        <f ca="1">MID(CELL("bestandsnaam",$B$11),SEARCH("]",CELL("bestandsnaam",$B$11),1)+1,256)</f>
        <v>2-Kosten per locatie</v>
      </c>
      <c r="C4" s="403"/>
      <c r="D4" s="18"/>
      <c r="E4" s="364" t="s">
        <v>198</v>
      </c>
      <c r="F4" s="365"/>
      <c r="G4" s="18"/>
      <c r="H4" s="392"/>
      <c r="I4" s="392"/>
      <c r="J4" s="392"/>
      <c r="K4" s="392"/>
      <c r="L4" s="392"/>
      <c r="M4" s="392"/>
      <c r="N4" s="392"/>
      <c r="AB4" s="18"/>
      <c r="AC4" s="18"/>
      <c r="AD4" s="17"/>
      <c r="AE4" s="17"/>
    </row>
    <row r="5" spans="1:31" ht="14.1" customHeight="1">
      <c r="A5" s="26" t="s">
        <v>72</v>
      </c>
      <c r="B5" s="403" t="s">
        <v>223</v>
      </c>
      <c r="C5" s="457"/>
      <c r="D5" s="18"/>
      <c r="E5" s="441">
        <v>0</v>
      </c>
      <c r="F5" s="459" t="s">
        <v>199</v>
      </c>
      <c r="G5" s="18"/>
      <c r="H5" s="362" t="s">
        <v>205</v>
      </c>
      <c r="I5" s="363"/>
      <c r="J5" s="363"/>
      <c r="K5" s="363"/>
      <c r="L5" s="363"/>
      <c r="M5" s="363"/>
      <c r="N5" s="473">
        <v>305000</v>
      </c>
      <c r="AB5" s="18"/>
      <c r="AC5" s="18"/>
      <c r="AD5" s="17"/>
      <c r="AE5" s="17"/>
    </row>
    <row r="6" spans="1:31" ht="14.1" customHeight="1">
      <c r="A6" s="26" t="s">
        <v>187</v>
      </c>
      <c r="B6" s="403" t="s">
        <v>609</v>
      </c>
      <c r="C6" s="457"/>
      <c r="D6" s="18"/>
      <c r="E6" s="18"/>
      <c r="F6" s="18"/>
      <c r="G6" s="18"/>
      <c r="H6" s="362" t="s">
        <v>206</v>
      </c>
      <c r="I6" s="363"/>
      <c r="J6" s="363"/>
      <c r="K6" s="363"/>
      <c r="L6" s="363"/>
      <c r="M6" s="363"/>
      <c r="N6" s="473">
        <v>275000</v>
      </c>
      <c r="AB6" s="18"/>
      <c r="AC6" s="18"/>
      <c r="AD6" s="17"/>
      <c r="AE6" s="17"/>
    </row>
    <row r="7" spans="1:31" ht="14.1" customHeight="1">
      <c r="A7" s="26" t="s">
        <v>173</v>
      </c>
      <c r="B7" s="381"/>
      <c r="C7" s="373"/>
      <c r="D7" s="18"/>
      <c r="E7" s="18"/>
      <c r="F7" s="18"/>
      <c r="G7" s="18"/>
      <c r="H7" s="18"/>
      <c r="I7" s="18"/>
      <c r="J7" s="18"/>
      <c r="K7" s="18"/>
      <c r="T7" s="18"/>
      <c r="U7" s="17"/>
      <c r="V7" s="17"/>
      <c r="W7" s="17"/>
      <c r="AD7" s="18"/>
      <c r="AE7" s="18"/>
    </row>
    <row r="8" spans="1:31" ht="14.1" customHeight="1">
      <c r="A8" s="26" t="s">
        <v>11</v>
      </c>
      <c r="B8" s="27">
        <v>45292</v>
      </c>
      <c r="C8" s="26"/>
      <c r="D8" s="18"/>
      <c r="E8" s="18"/>
      <c r="F8" s="18"/>
      <c r="G8" s="18"/>
      <c r="H8" s="18"/>
      <c r="I8" s="18"/>
      <c r="J8" s="18"/>
      <c r="K8" s="18"/>
      <c r="L8" s="18"/>
      <c r="M8" s="18"/>
      <c r="N8" s="18"/>
      <c r="P8" s="18"/>
      <c r="Q8" s="18"/>
      <c r="R8" s="18"/>
      <c r="S8" s="18"/>
      <c r="T8" s="18"/>
      <c r="U8" s="18"/>
      <c r="V8" s="18"/>
      <c r="W8" s="18"/>
      <c r="X8" s="361"/>
      <c r="Y8" s="361"/>
      <c r="Z8" s="361"/>
      <c r="AA8" s="361"/>
      <c r="AB8" s="361"/>
      <c r="AC8" s="361"/>
      <c r="AD8" s="18"/>
      <c r="AE8" s="18"/>
    </row>
    <row r="9" spans="1:31" ht="14.1" customHeight="1">
      <c r="A9" s="26" t="s">
        <v>379</v>
      </c>
      <c r="B9" s="458">
        <v>2</v>
      </c>
      <c r="C9" s="26"/>
      <c r="D9" s="18"/>
      <c r="E9" s="18"/>
      <c r="F9" s="18"/>
      <c r="G9" s="18"/>
      <c r="H9" s="18"/>
      <c r="I9" s="18"/>
      <c r="J9" s="18"/>
      <c r="K9" s="18"/>
      <c r="L9" s="18"/>
      <c r="M9" s="18"/>
      <c r="N9" s="18"/>
      <c r="O9" s="18"/>
      <c r="P9" s="18"/>
      <c r="Q9" s="18"/>
      <c r="R9" s="18"/>
      <c r="S9" s="18"/>
      <c r="T9" s="18"/>
      <c r="U9" s="18"/>
      <c r="V9" s="18"/>
      <c r="W9" s="18"/>
      <c r="X9" s="361"/>
      <c r="Y9" s="361"/>
      <c r="Z9" s="361"/>
      <c r="AA9" s="361"/>
      <c r="AB9" s="361"/>
      <c r="AC9" s="361"/>
      <c r="AD9" s="18"/>
      <c r="AE9" s="18"/>
    </row>
    <row r="10" spans="1:31" ht="14.1" customHeight="1">
      <c r="A10" s="26" t="s">
        <v>220</v>
      </c>
      <c r="B10" s="408" t="s">
        <v>614</v>
      </c>
      <c r="C10" s="26"/>
      <c r="D10" s="18"/>
      <c r="E10" s="18"/>
      <c r="F10" s="18"/>
      <c r="G10" s="18"/>
      <c r="H10" s="18"/>
      <c r="I10" s="18"/>
      <c r="J10" s="18"/>
      <c r="K10" s="18"/>
      <c r="L10" s="18"/>
      <c r="M10" s="18"/>
      <c r="N10" s="18"/>
      <c r="O10" s="18"/>
      <c r="P10" s="18"/>
      <c r="Q10" s="18"/>
      <c r="R10" s="18"/>
      <c r="S10" s="18"/>
      <c r="T10" s="18"/>
      <c r="U10" s="18"/>
      <c r="V10" s="18"/>
      <c r="W10" s="18"/>
      <c r="X10" s="17"/>
      <c r="Y10" s="17"/>
      <c r="Z10" s="17"/>
      <c r="AA10" s="17"/>
      <c r="AB10" s="17"/>
      <c r="AC10" s="17"/>
      <c r="AD10" s="18"/>
      <c r="AE10" s="18"/>
    </row>
    <row r="11" spans="1:31" ht="14.1" customHeight="1">
      <c r="A11" s="20"/>
      <c r="B11" s="20"/>
      <c r="C11" s="20"/>
      <c r="D11" s="20"/>
      <c r="E11" s="20"/>
      <c r="F11" s="20"/>
      <c r="G11" s="20"/>
      <c r="H11" s="20"/>
      <c r="I11" s="20"/>
      <c r="J11" s="20"/>
      <c r="K11" s="20"/>
      <c r="L11" s="20"/>
      <c r="M11" s="20"/>
      <c r="N11" s="20"/>
      <c r="O11" s="20"/>
      <c r="P11" s="18"/>
      <c r="Q11" s="18"/>
      <c r="R11" s="18"/>
      <c r="S11" s="18"/>
      <c r="T11" s="18"/>
      <c r="U11" s="17"/>
      <c r="V11" s="17"/>
      <c r="W11" s="17"/>
      <c r="X11" s="17"/>
      <c r="Y11" s="17"/>
      <c r="Z11" s="17"/>
      <c r="AA11" s="17"/>
      <c r="AB11" s="17"/>
      <c r="AC11" s="17"/>
      <c r="AD11" s="17"/>
      <c r="AE11" s="17"/>
    </row>
    <row r="12" spans="1:31" ht="78.599999999999994" customHeight="1">
      <c r="A12" s="329" t="s">
        <v>94</v>
      </c>
      <c r="B12" s="330" t="s">
        <v>157</v>
      </c>
      <c r="C12" s="346" t="s">
        <v>204</v>
      </c>
      <c r="D12" s="382" t="s">
        <v>200</v>
      </c>
      <c r="E12" s="382" t="s">
        <v>201</v>
      </c>
      <c r="F12" s="331" t="s">
        <v>182</v>
      </c>
      <c r="G12" s="331" t="s">
        <v>183</v>
      </c>
      <c r="H12" s="331" t="s">
        <v>211</v>
      </c>
      <c r="I12" s="331" t="s">
        <v>212</v>
      </c>
      <c r="J12" s="331" t="s">
        <v>158</v>
      </c>
      <c r="K12" s="331" t="s">
        <v>202</v>
      </c>
      <c r="L12" s="25" t="s">
        <v>213</v>
      </c>
      <c r="M12" s="25" t="s">
        <v>214</v>
      </c>
      <c r="N12" s="25" t="s">
        <v>208</v>
      </c>
      <c r="O12" s="25" t="s">
        <v>209</v>
      </c>
      <c r="P12" s="25" t="s">
        <v>159</v>
      </c>
      <c r="Q12" s="25" t="s">
        <v>160</v>
      </c>
      <c r="R12" s="25" t="s">
        <v>161</v>
      </c>
      <c r="S12" s="25" t="s">
        <v>162</v>
      </c>
      <c r="T12" s="17"/>
      <c r="U12" s="17"/>
      <c r="V12" s="17"/>
      <c r="W12" s="17"/>
      <c r="X12" s="17"/>
      <c r="Y12" s="17"/>
      <c r="Z12" s="17"/>
      <c r="AA12" s="17"/>
      <c r="AB12" s="17"/>
      <c r="AC12" s="17"/>
      <c r="AD12" s="17"/>
      <c r="AE12" s="17"/>
    </row>
    <row r="13" spans="1:31" s="21" customFormat="1" ht="15" customHeight="1">
      <c r="A13" s="423" t="s">
        <v>395</v>
      </c>
      <c r="B13" s="439">
        <f>SUMIF('4-Basis ruimtestaat'!B:B,'2-Kosten per locatie'!A13,'4-Basis ruimtestaat'!J:J)</f>
        <v>1344.0000000000005</v>
      </c>
      <c r="C13" s="368">
        <v>1</v>
      </c>
      <c r="D13" s="383">
        <f>_xlfn.MAXIFS('4-Basis ruimtestaat'!L:L,'4-Basis ruimtestaat'!B:B,'2-Kosten per locatie'!A13)</f>
        <v>200</v>
      </c>
      <c r="E13" s="383">
        <f>_xlfn.MAXIFS('4-Basis ruimtestaat'!M:M,'4-Basis ruimtestaat'!B:B,'2-Kosten per locatie'!A13)</f>
        <v>0</v>
      </c>
      <c r="F13" s="300" t="e">
        <f>SUMIF('4-Basis ruimtestaat'!B:B,'2-Kosten per locatie'!A13,'4-Basis ruimtestaat'!N:N)</f>
        <v>#DIV/0!</v>
      </c>
      <c r="G13" s="300">
        <f>SUMIF('4-Basis ruimtestaat'!B:B,'2-Kosten per locatie'!A13,'4-Basis ruimtestaat'!O:O)</f>
        <v>0</v>
      </c>
      <c r="H13" s="369" t="e">
        <f t="shared" ref="H13:H22" si="0">IF(F13&lt;(D13*$E$2),D13*$E$2-F13,0)</f>
        <v>#DIV/0!</v>
      </c>
      <c r="I13" s="369">
        <f t="shared" ref="I13:I22" si="1">IF(G13&lt;(E13*$E$2),E13*$E$2-G13,0)</f>
        <v>0</v>
      </c>
      <c r="J13" s="300" t="e">
        <f t="shared" ref="J13:J22" si="2">F13*$E$5</f>
        <v>#DIV/0!</v>
      </c>
      <c r="K13" s="300">
        <f t="shared" ref="K13:K22" si="3">G13*$E$5</f>
        <v>0</v>
      </c>
      <c r="L13" s="386" t="e">
        <f>(F13+H13)*'6-Opbouw uurtarief productie'!$E$47</f>
        <v>#DIV/0!</v>
      </c>
      <c r="M13" s="387" t="e">
        <f>(G13+I13)*'6-Opbouw uurtarief productie'!$E$47</f>
        <v>#DIV/0!</v>
      </c>
      <c r="N13" s="385" t="e">
        <f>J13*'7-Opbouw uurtarief toezicht'!$E$47</f>
        <v>#DIV/0!</v>
      </c>
      <c r="O13" s="301" t="e">
        <f>K13*'7-Opbouw uurtarief toezicht'!$E$47</f>
        <v>#DIV/0!</v>
      </c>
      <c r="P13" s="301">
        <f>SUMIF('8-Additionele kosten'!A:A,A13,'8-Additionele kosten'!H:H)</f>
        <v>0</v>
      </c>
      <c r="Q13" s="301">
        <f>SUMIF('10-Glasbewassing'!A:A,A13,'10-Glasbewassing'!G:G)</f>
        <v>0</v>
      </c>
      <c r="R13" s="301" t="e">
        <f t="shared" ref="R13:R22" si="4">SUM(L13:Q13)</f>
        <v>#DIV/0!</v>
      </c>
      <c r="S13" s="301" t="e">
        <f>R13/12</f>
        <v>#DIV/0!</v>
      </c>
    </row>
    <row r="14" spans="1:31" ht="15" customHeight="1">
      <c r="A14" s="423" t="s">
        <v>398</v>
      </c>
      <c r="B14" s="439">
        <f>SUMIF('4-Basis ruimtestaat'!B:B,'2-Kosten per locatie'!A14,'4-Basis ruimtestaat'!J:J)</f>
        <v>1869.62</v>
      </c>
      <c r="C14" s="368">
        <v>1</v>
      </c>
      <c r="D14" s="383">
        <f>_xlfn.MAXIFS('4-Basis ruimtestaat'!L:L,'4-Basis ruimtestaat'!B:B,'2-Kosten per locatie'!A14)</f>
        <v>200</v>
      </c>
      <c r="E14" s="383">
        <f>_xlfn.MAXIFS('4-Basis ruimtestaat'!M:M,'4-Basis ruimtestaat'!B:B,'2-Kosten per locatie'!A14)</f>
        <v>0</v>
      </c>
      <c r="F14" s="300" t="e">
        <f>SUMIF('4-Basis ruimtestaat'!B:B,'2-Kosten per locatie'!A14,'4-Basis ruimtestaat'!N:N)</f>
        <v>#DIV/0!</v>
      </c>
      <c r="G14" s="300">
        <f>SUMIF('4-Basis ruimtestaat'!B:B,'2-Kosten per locatie'!A14,'4-Basis ruimtestaat'!O:O)</f>
        <v>0</v>
      </c>
      <c r="H14" s="369" t="e">
        <f t="shared" si="0"/>
        <v>#DIV/0!</v>
      </c>
      <c r="I14" s="369">
        <f t="shared" si="1"/>
        <v>0</v>
      </c>
      <c r="J14" s="300" t="e">
        <f t="shared" si="2"/>
        <v>#DIV/0!</v>
      </c>
      <c r="K14" s="300">
        <f t="shared" si="3"/>
        <v>0</v>
      </c>
      <c r="L14" s="386" t="e">
        <f>(F14+H14)*'6-Opbouw uurtarief productie'!$E$47</f>
        <v>#DIV/0!</v>
      </c>
      <c r="M14" s="387" t="e">
        <f>(G14+I14)*'6-Opbouw uurtarief productie'!$E$47</f>
        <v>#DIV/0!</v>
      </c>
      <c r="N14" s="385" t="e">
        <f>J14*'7-Opbouw uurtarief toezicht'!$E$47</f>
        <v>#DIV/0!</v>
      </c>
      <c r="O14" s="301" t="e">
        <f>K14*'7-Opbouw uurtarief toezicht'!$E$47</f>
        <v>#DIV/0!</v>
      </c>
      <c r="P14" s="301">
        <f>SUMIF('8-Additionele kosten'!A:A,A14,'8-Additionele kosten'!H:H)</f>
        <v>0</v>
      </c>
      <c r="Q14" s="301">
        <f>SUMIF('10-Glasbewassing'!A:A,A14,'10-Glasbewassing'!G:G)</f>
        <v>0</v>
      </c>
      <c r="R14" s="301" t="e">
        <f t="shared" si="4"/>
        <v>#DIV/0!</v>
      </c>
      <c r="S14" s="301" t="e">
        <f t="shared" ref="S14:S22" si="5">R14/12</f>
        <v>#DIV/0!</v>
      </c>
      <c r="T14" s="17"/>
      <c r="U14" s="17"/>
      <c r="V14" s="17"/>
      <c r="W14" s="17"/>
      <c r="X14" s="17"/>
      <c r="Y14" s="17"/>
      <c r="Z14" s="17"/>
      <c r="AA14" s="17"/>
      <c r="AB14" s="17"/>
      <c r="AC14" s="17"/>
      <c r="AD14" s="17"/>
      <c r="AE14" s="17"/>
    </row>
    <row r="15" spans="1:31" ht="15" customHeight="1">
      <c r="A15" s="423" t="s">
        <v>409</v>
      </c>
      <c r="B15" s="439">
        <f>SUMIF('4-Basis ruimtestaat'!B:B,'2-Kosten per locatie'!A15,'4-Basis ruimtestaat'!J:J)</f>
        <v>1630.5600000000002</v>
      </c>
      <c r="C15" s="368">
        <v>1</v>
      </c>
      <c r="D15" s="383">
        <f>_xlfn.MAXIFS('4-Basis ruimtestaat'!L:L,'4-Basis ruimtestaat'!B:B,'2-Kosten per locatie'!A15)</f>
        <v>200</v>
      </c>
      <c r="E15" s="383">
        <f>_xlfn.MAXIFS('4-Basis ruimtestaat'!M:M,'4-Basis ruimtestaat'!B:B,'2-Kosten per locatie'!A15)</f>
        <v>0</v>
      </c>
      <c r="F15" s="300" t="e">
        <f>SUMIF('4-Basis ruimtestaat'!B:B,'2-Kosten per locatie'!A15,'4-Basis ruimtestaat'!N:N)</f>
        <v>#DIV/0!</v>
      </c>
      <c r="G15" s="300">
        <f>SUMIF('4-Basis ruimtestaat'!B:B,'2-Kosten per locatie'!A15,'4-Basis ruimtestaat'!O:O)</f>
        <v>0</v>
      </c>
      <c r="H15" s="369" t="e">
        <f t="shared" si="0"/>
        <v>#DIV/0!</v>
      </c>
      <c r="I15" s="369">
        <f t="shared" si="1"/>
        <v>0</v>
      </c>
      <c r="J15" s="300" t="e">
        <f t="shared" si="2"/>
        <v>#DIV/0!</v>
      </c>
      <c r="K15" s="300">
        <f t="shared" si="3"/>
        <v>0</v>
      </c>
      <c r="L15" s="386" t="e">
        <f>(F15+H15)*'6-Opbouw uurtarief productie'!$E$47</f>
        <v>#DIV/0!</v>
      </c>
      <c r="M15" s="387" t="e">
        <f>(G15+I15)*'6-Opbouw uurtarief productie'!$E$47</f>
        <v>#DIV/0!</v>
      </c>
      <c r="N15" s="385" t="e">
        <f>J15*'7-Opbouw uurtarief toezicht'!$E$47</f>
        <v>#DIV/0!</v>
      </c>
      <c r="O15" s="301" t="e">
        <f>K15*'7-Opbouw uurtarief toezicht'!$E$47</f>
        <v>#DIV/0!</v>
      </c>
      <c r="P15" s="301">
        <f>SUMIF('8-Additionele kosten'!A:A,A15,'8-Additionele kosten'!H:H)</f>
        <v>0</v>
      </c>
      <c r="Q15" s="301">
        <f>SUMIF('10-Glasbewassing'!A:A,A15,'10-Glasbewassing'!G:G)</f>
        <v>0</v>
      </c>
      <c r="R15" s="301" t="e">
        <f t="shared" si="4"/>
        <v>#DIV/0!</v>
      </c>
      <c r="S15" s="301" t="e">
        <f t="shared" si="5"/>
        <v>#DIV/0!</v>
      </c>
      <c r="T15" s="17"/>
      <c r="U15" s="17"/>
      <c r="V15" s="17"/>
      <c r="W15" s="17"/>
      <c r="X15" s="17"/>
      <c r="Y15" s="17"/>
      <c r="Z15" s="17"/>
      <c r="AA15" s="17"/>
      <c r="AB15" s="17"/>
      <c r="AC15" s="17"/>
      <c r="AD15" s="17"/>
      <c r="AE15" s="17"/>
    </row>
    <row r="16" spans="1:31" ht="15" customHeight="1">
      <c r="A16" s="423" t="s">
        <v>416</v>
      </c>
      <c r="B16" s="439">
        <f>SUMIF('4-Basis ruimtestaat'!B:B,'2-Kosten per locatie'!A16,'4-Basis ruimtestaat'!J:J)</f>
        <v>1278.1600000000001</v>
      </c>
      <c r="C16" s="368">
        <v>1</v>
      </c>
      <c r="D16" s="383">
        <f>_xlfn.MAXIFS('4-Basis ruimtestaat'!L:L,'4-Basis ruimtestaat'!B:B,'2-Kosten per locatie'!A16)</f>
        <v>200</v>
      </c>
      <c r="E16" s="383">
        <f>_xlfn.MAXIFS('4-Basis ruimtestaat'!M:M,'4-Basis ruimtestaat'!B:B,'2-Kosten per locatie'!A16)</f>
        <v>0</v>
      </c>
      <c r="F16" s="300" t="e">
        <f>SUMIF('4-Basis ruimtestaat'!B:B,'2-Kosten per locatie'!A16,'4-Basis ruimtestaat'!N:N)</f>
        <v>#DIV/0!</v>
      </c>
      <c r="G16" s="300">
        <f>SUMIF('4-Basis ruimtestaat'!B:B,'2-Kosten per locatie'!A16,'4-Basis ruimtestaat'!O:O)</f>
        <v>0</v>
      </c>
      <c r="H16" s="369" t="e">
        <f t="shared" si="0"/>
        <v>#DIV/0!</v>
      </c>
      <c r="I16" s="369">
        <f t="shared" si="1"/>
        <v>0</v>
      </c>
      <c r="J16" s="300" t="e">
        <f t="shared" si="2"/>
        <v>#DIV/0!</v>
      </c>
      <c r="K16" s="300">
        <f t="shared" si="3"/>
        <v>0</v>
      </c>
      <c r="L16" s="386" t="e">
        <f>(F16+H16)*'6-Opbouw uurtarief productie'!$E$47</f>
        <v>#DIV/0!</v>
      </c>
      <c r="M16" s="387" t="e">
        <f>(G16+I16)*'6-Opbouw uurtarief productie'!$E$47</f>
        <v>#DIV/0!</v>
      </c>
      <c r="N16" s="385" t="e">
        <f>J16*'7-Opbouw uurtarief toezicht'!$E$47</f>
        <v>#DIV/0!</v>
      </c>
      <c r="O16" s="301" t="e">
        <f>K16*'7-Opbouw uurtarief toezicht'!$E$47</f>
        <v>#DIV/0!</v>
      </c>
      <c r="P16" s="301">
        <f>SUMIF('8-Additionele kosten'!A:A,A16,'8-Additionele kosten'!H:H)</f>
        <v>0</v>
      </c>
      <c r="Q16" s="301">
        <f>SUMIF('10-Glasbewassing'!A:A,A16,'10-Glasbewassing'!G:G)</f>
        <v>0</v>
      </c>
      <c r="R16" s="301" t="e">
        <f t="shared" si="4"/>
        <v>#DIV/0!</v>
      </c>
      <c r="S16" s="301" t="e">
        <f t="shared" si="5"/>
        <v>#DIV/0!</v>
      </c>
      <c r="T16" s="17"/>
      <c r="U16" s="17"/>
      <c r="V16" s="17"/>
      <c r="W16" s="17"/>
      <c r="X16" s="17"/>
      <c r="Y16" s="17"/>
      <c r="Z16" s="17"/>
      <c r="AA16" s="17"/>
      <c r="AB16" s="17"/>
      <c r="AC16" s="17"/>
      <c r="AD16" s="17"/>
      <c r="AE16" s="17"/>
    </row>
    <row r="17" spans="1:31" ht="15" customHeight="1">
      <c r="A17" s="423" t="s">
        <v>419</v>
      </c>
      <c r="B17" s="439">
        <f>SUMIF('4-Basis ruimtestaat'!B:B,'2-Kosten per locatie'!A17,'4-Basis ruimtestaat'!J:J)</f>
        <v>1507.3500000000006</v>
      </c>
      <c r="C17" s="368">
        <v>1</v>
      </c>
      <c r="D17" s="383">
        <f>_xlfn.MAXIFS('4-Basis ruimtestaat'!L:L,'4-Basis ruimtestaat'!B:B,'2-Kosten per locatie'!A17)</f>
        <v>200</v>
      </c>
      <c r="E17" s="383">
        <f>_xlfn.MAXIFS('4-Basis ruimtestaat'!M:M,'4-Basis ruimtestaat'!B:B,'2-Kosten per locatie'!A17)</f>
        <v>0</v>
      </c>
      <c r="F17" s="300" t="e">
        <f>SUMIF('4-Basis ruimtestaat'!B:B,'2-Kosten per locatie'!A17,'4-Basis ruimtestaat'!N:N)</f>
        <v>#DIV/0!</v>
      </c>
      <c r="G17" s="300">
        <f>SUMIF('4-Basis ruimtestaat'!B:B,'2-Kosten per locatie'!A17,'4-Basis ruimtestaat'!O:O)</f>
        <v>0</v>
      </c>
      <c r="H17" s="369" t="e">
        <f t="shared" si="0"/>
        <v>#DIV/0!</v>
      </c>
      <c r="I17" s="369">
        <f t="shared" si="1"/>
        <v>0</v>
      </c>
      <c r="J17" s="300" t="e">
        <f t="shared" si="2"/>
        <v>#DIV/0!</v>
      </c>
      <c r="K17" s="300">
        <f t="shared" si="3"/>
        <v>0</v>
      </c>
      <c r="L17" s="386" t="e">
        <f>(F17+H17)*'6-Opbouw uurtarief productie'!$E$47</f>
        <v>#DIV/0!</v>
      </c>
      <c r="M17" s="387" t="e">
        <f>(G17+I17)*'6-Opbouw uurtarief productie'!$E$47</f>
        <v>#DIV/0!</v>
      </c>
      <c r="N17" s="385" t="e">
        <f>J17*'7-Opbouw uurtarief toezicht'!$E$47</f>
        <v>#DIV/0!</v>
      </c>
      <c r="O17" s="301" t="e">
        <f>K17*'7-Opbouw uurtarief toezicht'!$E$47</f>
        <v>#DIV/0!</v>
      </c>
      <c r="P17" s="301">
        <f>SUMIF('8-Additionele kosten'!A:A,A17,'8-Additionele kosten'!H:H)</f>
        <v>0</v>
      </c>
      <c r="Q17" s="301">
        <f>SUMIF('10-Glasbewassing'!A:A,A17,'10-Glasbewassing'!G:G)</f>
        <v>0</v>
      </c>
      <c r="R17" s="301" t="e">
        <f t="shared" si="4"/>
        <v>#DIV/0!</v>
      </c>
      <c r="S17" s="301" t="e">
        <f t="shared" si="5"/>
        <v>#DIV/0!</v>
      </c>
      <c r="T17" s="17"/>
      <c r="U17" s="17"/>
      <c r="V17" s="17"/>
      <c r="W17" s="17"/>
      <c r="X17" s="17"/>
      <c r="Y17" s="17"/>
      <c r="Z17" s="17"/>
      <c r="AA17" s="17"/>
      <c r="AB17" s="17"/>
      <c r="AC17" s="17"/>
      <c r="AD17" s="17"/>
      <c r="AE17" s="17"/>
    </row>
    <row r="18" spans="1:31" ht="15" customHeight="1">
      <c r="A18" s="423" t="s">
        <v>421</v>
      </c>
      <c r="B18" s="439">
        <f>SUMIF('4-Basis ruimtestaat'!B:B,'2-Kosten per locatie'!A18,'4-Basis ruimtestaat'!J:J)</f>
        <v>1085.73</v>
      </c>
      <c r="C18" s="368">
        <v>1</v>
      </c>
      <c r="D18" s="383">
        <f>_xlfn.MAXIFS('4-Basis ruimtestaat'!L:L,'4-Basis ruimtestaat'!B:B,'2-Kosten per locatie'!A18)</f>
        <v>200</v>
      </c>
      <c r="E18" s="383">
        <f>_xlfn.MAXIFS('4-Basis ruimtestaat'!M:M,'4-Basis ruimtestaat'!B:B,'2-Kosten per locatie'!A18)</f>
        <v>0</v>
      </c>
      <c r="F18" s="300" t="e">
        <f>SUMIF('4-Basis ruimtestaat'!B:B,'2-Kosten per locatie'!A18,'4-Basis ruimtestaat'!N:N)</f>
        <v>#DIV/0!</v>
      </c>
      <c r="G18" s="300">
        <f>SUMIF('4-Basis ruimtestaat'!B:B,'2-Kosten per locatie'!A18,'4-Basis ruimtestaat'!O:O)</f>
        <v>0</v>
      </c>
      <c r="H18" s="369" t="e">
        <f t="shared" si="0"/>
        <v>#DIV/0!</v>
      </c>
      <c r="I18" s="369">
        <f t="shared" si="1"/>
        <v>0</v>
      </c>
      <c r="J18" s="300" t="e">
        <f t="shared" si="2"/>
        <v>#DIV/0!</v>
      </c>
      <c r="K18" s="300">
        <f t="shared" si="3"/>
        <v>0</v>
      </c>
      <c r="L18" s="386" t="e">
        <f>(F18+H18)*'6-Opbouw uurtarief productie'!$E$47</f>
        <v>#DIV/0!</v>
      </c>
      <c r="M18" s="387" t="e">
        <f>(G18+I18)*'6-Opbouw uurtarief productie'!$E$47</f>
        <v>#DIV/0!</v>
      </c>
      <c r="N18" s="385" t="e">
        <f>J18*'7-Opbouw uurtarief toezicht'!$E$47</f>
        <v>#DIV/0!</v>
      </c>
      <c r="O18" s="301" t="e">
        <f>K18*'7-Opbouw uurtarief toezicht'!$E$47</f>
        <v>#DIV/0!</v>
      </c>
      <c r="P18" s="301">
        <f>SUMIF('8-Additionele kosten'!A:A,A18,'8-Additionele kosten'!H:H)</f>
        <v>0</v>
      </c>
      <c r="Q18" s="301">
        <f>SUMIF('10-Glasbewassing'!A:A,A18,'10-Glasbewassing'!G:G)</f>
        <v>0</v>
      </c>
      <c r="R18" s="301" t="e">
        <f t="shared" si="4"/>
        <v>#DIV/0!</v>
      </c>
      <c r="S18" s="301" t="e">
        <f t="shared" si="5"/>
        <v>#DIV/0!</v>
      </c>
      <c r="T18" s="17"/>
      <c r="U18" s="17"/>
      <c r="V18" s="17"/>
      <c r="W18" s="17"/>
      <c r="X18" s="17"/>
      <c r="Y18" s="17"/>
      <c r="Z18" s="17"/>
      <c r="AA18" s="17"/>
      <c r="AB18" s="17"/>
      <c r="AC18" s="17"/>
      <c r="AD18" s="17"/>
      <c r="AE18" s="17"/>
    </row>
    <row r="19" spans="1:31" ht="15" customHeight="1">
      <c r="A19" s="423" t="s">
        <v>380</v>
      </c>
      <c r="B19" s="439">
        <f>SUMIF('4-Basis ruimtestaat'!B:B,'2-Kosten per locatie'!A19,'4-Basis ruimtestaat'!J:J)</f>
        <v>1296.0400000000002</v>
      </c>
      <c r="C19" s="368">
        <v>1</v>
      </c>
      <c r="D19" s="383">
        <f>_xlfn.MAXIFS('4-Basis ruimtestaat'!L:L,'4-Basis ruimtestaat'!B:B,'2-Kosten per locatie'!A19)</f>
        <v>200</v>
      </c>
      <c r="E19" s="383">
        <f>_xlfn.MAXIFS('4-Basis ruimtestaat'!M:M,'4-Basis ruimtestaat'!B:B,'2-Kosten per locatie'!A19)</f>
        <v>0</v>
      </c>
      <c r="F19" s="300" t="e">
        <f>SUMIF('4-Basis ruimtestaat'!B:B,'2-Kosten per locatie'!A19,'4-Basis ruimtestaat'!N:N)</f>
        <v>#DIV/0!</v>
      </c>
      <c r="G19" s="300">
        <f>SUMIF('4-Basis ruimtestaat'!B:B,'2-Kosten per locatie'!A19,'4-Basis ruimtestaat'!O:O)</f>
        <v>0</v>
      </c>
      <c r="H19" s="369" t="e">
        <f t="shared" si="0"/>
        <v>#DIV/0!</v>
      </c>
      <c r="I19" s="369">
        <f t="shared" si="1"/>
        <v>0</v>
      </c>
      <c r="J19" s="300" t="e">
        <f t="shared" si="2"/>
        <v>#DIV/0!</v>
      </c>
      <c r="K19" s="300">
        <f t="shared" si="3"/>
        <v>0</v>
      </c>
      <c r="L19" s="386" t="e">
        <f>(F19+H19)*'6-Opbouw uurtarief productie'!$E$47</f>
        <v>#DIV/0!</v>
      </c>
      <c r="M19" s="387" t="e">
        <f>(G19+I19)*'6-Opbouw uurtarief productie'!$E$47</f>
        <v>#DIV/0!</v>
      </c>
      <c r="N19" s="385" t="e">
        <f>J19*'7-Opbouw uurtarief toezicht'!$E$47</f>
        <v>#DIV/0!</v>
      </c>
      <c r="O19" s="301" t="e">
        <f>K19*'7-Opbouw uurtarief toezicht'!$E$47</f>
        <v>#DIV/0!</v>
      </c>
      <c r="P19" s="301">
        <f>SUMIF('8-Additionele kosten'!A:A,A19,'8-Additionele kosten'!H:H)</f>
        <v>0</v>
      </c>
      <c r="Q19" s="301">
        <f>SUMIF('10-Glasbewassing'!A:A,A19,'10-Glasbewassing'!G:G)</f>
        <v>0</v>
      </c>
      <c r="R19" s="301" t="e">
        <f t="shared" si="4"/>
        <v>#DIV/0!</v>
      </c>
      <c r="S19" s="301" t="e">
        <f t="shared" si="5"/>
        <v>#DIV/0!</v>
      </c>
      <c r="T19" s="17"/>
      <c r="U19" s="17"/>
      <c r="V19" s="17"/>
      <c r="W19" s="17"/>
      <c r="X19" s="17"/>
      <c r="Y19" s="17"/>
      <c r="Z19" s="17"/>
      <c r="AA19" s="17"/>
      <c r="AB19" s="17"/>
      <c r="AC19" s="17"/>
      <c r="AD19" s="17"/>
      <c r="AE19" s="17"/>
    </row>
    <row r="20" spans="1:31" ht="15" customHeight="1">
      <c r="A20" s="414" t="s">
        <v>423</v>
      </c>
      <c r="B20" s="439">
        <f>SUMIF('4-Basis ruimtestaat'!B:B,'2-Kosten per locatie'!A20,'4-Basis ruimtestaat'!J:J)</f>
        <v>2783.2599999999993</v>
      </c>
      <c r="C20" s="368">
        <v>1</v>
      </c>
      <c r="D20" s="383">
        <f>_xlfn.MAXIFS('4-Basis ruimtestaat'!L:L,'4-Basis ruimtestaat'!B:B,'2-Kosten per locatie'!A20)</f>
        <v>200</v>
      </c>
      <c r="E20" s="383">
        <f>_xlfn.MAXIFS('4-Basis ruimtestaat'!M:M,'4-Basis ruimtestaat'!B:B,'2-Kosten per locatie'!A20)</f>
        <v>0</v>
      </c>
      <c r="F20" s="300" t="e">
        <f>SUMIF('4-Basis ruimtestaat'!B:B,'2-Kosten per locatie'!A20,'4-Basis ruimtestaat'!N:N)</f>
        <v>#DIV/0!</v>
      </c>
      <c r="G20" s="300">
        <f>SUMIF('4-Basis ruimtestaat'!B:B,'2-Kosten per locatie'!A20,'4-Basis ruimtestaat'!O:O)</f>
        <v>0</v>
      </c>
      <c r="H20" s="369" t="e">
        <f t="shared" si="0"/>
        <v>#DIV/0!</v>
      </c>
      <c r="I20" s="369">
        <f t="shared" si="1"/>
        <v>0</v>
      </c>
      <c r="J20" s="300" t="e">
        <f t="shared" si="2"/>
        <v>#DIV/0!</v>
      </c>
      <c r="K20" s="300">
        <f t="shared" si="3"/>
        <v>0</v>
      </c>
      <c r="L20" s="386" t="e">
        <f>(F20+H20)*'6-Opbouw uurtarief productie'!$E$47</f>
        <v>#DIV/0!</v>
      </c>
      <c r="M20" s="387" t="e">
        <f>(G20+I20)*'6-Opbouw uurtarief productie'!$E$47</f>
        <v>#DIV/0!</v>
      </c>
      <c r="N20" s="385" t="e">
        <f>J20*'7-Opbouw uurtarief toezicht'!$E$47</f>
        <v>#DIV/0!</v>
      </c>
      <c r="O20" s="301" t="e">
        <f>K20*'7-Opbouw uurtarief toezicht'!$E$47</f>
        <v>#DIV/0!</v>
      </c>
      <c r="P20" s="301">
        <f>SUMIF('8-Additionele kosten'!A:A,A20,'8-Additionele kosten'!H:H)</f>
        <v>0</v>
      </c>
      <c r="Q20" s="301">
        <f>SUMIF('10-Glasbewassing'!A:A,A20,'10-Glasbewassing'!G:G)</f>
        <v>0</v>
      </c>
      <c r="R20" s="301" t="e">
        <f t="shared" si="4"/>
        <v>#DIV/0!</v>
      </c>
      <c r="S20" s="301" t="e">
        <f t="shared" si="5"/>
        <v>#DIV/0!</v>
      </c>
      <c r="T20" s="17"/>
      <c r="U20" s="17"/>
      <c r="V20" s="17"/>
      <c r="W20" s="17"/>
      <c r="X20" s="17"/>
      <c r="Y20" s="17"/>
      <c r="Z20" s="17"/>
      <c r="AA20" s="17"/>
      <c r="AB20" s="17"/>
      <c r="AC20" s="17"/>
      <c r="AD20" s="17"/>
      <c r="AE20" s="17"/>
    </row>
    <row r="21" spans="1:31" ht="15" customHeight="1">
      <c r="A21" s="423" t="s">
        <v>527</v>
      </c>
      <c r="B21" s="439">
        <f>SUMIF('4-Basis ruimtestaat'!B:B,'2-Kosten per locatie'!A21,'4-Basis ruimtestaat'!J:J)</f>
        <v>3073.8999999999996</v>
      </c>
      <c r="C21" s="368">
        <v>1</v>
      </c>
      <c r="D21" s="383">
        <f>_xlfn.MAXIFS('4-Basis ruimtestaat'!L:L,'4-Basis ruimtestaat'!B:B,'2-Kosten per locatie'!A21)</f>
        <v>200</v>
      </c>
      <c r="E21" s="383">
        <f>_xlfn.MAXIFS('4-Basis ruimtestaat'!M:M,'4-Basis ruimtestaat'!B:B,'2-Kosten per locatie'!A21)</f>
        <v>0</v>
      </c>
      <c r="F21" s="300" t="e">
        <f>SUMIF('4-Basis ruimtestaat'!B:B,'2-Kosten per locatie'!A21,'4-Basis ruimtestaat'!N:N)</f>
        <v>#DIV/0!</v>
      </c>
      <c r="G21" s="300">
        <f>SUMIF('4-Basis ruimtestaat'!B:B,'2-Kosten per locatie'!A21,'4-Basis ruimtestaat'!O:O)</f>
        <v>0</v>
      </c>
      <c r="H21" s="369" t="e">
        <f t="shared" si="0"/>
        <v>#DIV/0!</v>
      </c>
      <c r="I21" s="369">
        <f t="shared" si="1"/>
        <v>0</v>
      </c>
      <c r="J21" s="300" t="e">
        <f t="shared" si="2"/>
        <v>#DIV/0!</v>
      </c>
      <c r="K21" s="300">
        <f t="shared" si="3"/>
        <v>0</v>
      </c>
      <c r="L21" s="386" t="e">
        <f>(F21+H21)*'6-Opbouw uurtarief productie'!$E$47</f>
        <v>#DIV/0!</v>
      </c>
      <c r="M21" s="387" t="e">
        <f>(G21+I21)*'6-Opbouw uurtarief productie'!$E$47</f>
        <v>#DIV/0!</v>
      </c>
      <c r="N21" s="385" t="e">
        <f>J21*'7-Opbouw uurtarief toezicht'!$E$47</f>
        <v>#DIV/0!</v>
      </c>
      <c r="O21" s="301" t="e">
        <f>K21*'7-Opbouw uurtarief toezicht'!$E$47</f>
        <v>#DIV/0!</v>
      </c>
      <c r="P21" s="301">
        <f>SUMIF('8-Additionele kosten'!A:A,A21,'8-Additionele kosten'!H:H)</f>
        <v>0</v>
      </c>
      <c r="Q21" s="301">
        <f>SUMIF('10-Glasbewassing'!A:A,A21,'10-Glasbewassing'!G:G)</f>
        <v>0</v>
      </c>
      <c r="R21" s="301" t="e">
        <f t="shared" si="4"/>
        <v>#DIV/0!</v>
      </c>
      <c r="S21" s="301" t="e">
        <f t="shared" si="5"/>
        <v>#DIV/0!</v>
      </c>
      <c r="T21" s="17"/>
      <c r="U21" s="17"/>
      <c r="V21" s="17"/>
      <c r="W21" s="17"/>
      <c r="X21" s="17"/>
      <c r="Y21" s="17"/>
      <c r="Z21" s="17"/>
      <c r="AA21" s="17"/>
      <c r="AB21" s="17"/>
      <c r="AC21" s="17"/>
      <c r="AD21" s="17"/>
      <c r="AE21" s="17"/>
    </row>
    <row r="22" spans="1:31" ht="15" customHeight="1">
      <c r="A22" s="370" t="s">
        <v>197</v>
      </c>
      <c r="B22" s="439">
        <f>SUMIF('4-Basis ruimtestaat'!B:B,'2-Kosten per locatie'!A22,'4-Basis ruimtestaat'!J:J)</f>
        <v>0</v>
      </c>
      <c r="C22" s="368">
        <v>1</v>
      </c>
      <c r="D22" s="383">
        <f>_xlfn.MAXIFS('4-Basis ruimtestaat'!L:L,'4-Basis ruimtestaat'!B:B,'2-Kosten per locatie'!A22)</f>
        <v>0</v>
      </c>
      <c r="E22" s="383">
        <f>_xlfn.MAXIFS('4-Basis ruimtestaat'!M:M,'4-Basis ruimtestaat'!B:B,'2-Kosten per locatie'!A22)</f>
        <v>0</v>
      </c>
      <c r="F22" s="300">
        <f>SUMIF('4-Basis ruimtestaat'!B:B,'2-Kosten per locatie'!A22,'4-Basis ruimtestaat'!N:N)*C22</f>
        <v>0</v>
      </c>
      <c r="G22" s="300">
        <f>SUMIF('4-Basis ruimtestaat'!B:B,'2-Kosten per locatie'!A22,'4-Basis ruimtestaat'!O:O)*C22</f>
        <v>0</v>
      </c>
      <c r="H22" s="369">
        <f t="shared" si="0"/>
        <v>0</v>
      </c>
      <c r="I22" s="369">
        <f t="shared" si="1"/>
        <v>0</v>
      </c>
      <c r="J22" s="300">
        <f t="shared" si="2"/>
        <v>0</v>
      </c>
      <c r="K22" s="300">
        <f t="shared" si="3"/>
        <v>0</v>
      </c>
      <c r="L22" s="386" t="e">
        <f>(F22+H22)*'6-Opbouw uurtarief productie'!$E$47</f>
        <v>#DIV/0!</v>
      </c>
      <c r="M22" s="387" t="e">
        <f>(G22+I22)*'6-Opbouw uurtarief productie'!$E$47</f>
        <v>#DIV/0!</v>
      </c>
      <c r="N22" s="385" t="e">
        <f>J22*'7-Opbouw uurtarief toezicht'!$E$47</f>
        <v>#DIV/0!</v>
      </c>
      <c r="O22" s="301" t="e">
        <f>K22*'7-Opbouw uurtarief toezicht'!$E$47</f>
        <v>#DIV/0!</v>
      </c>
      <c r="P22" s="301">
        <f>SUMIF('8-Additionele kosten'!A:A,A22,'8-Additionele kosten'!H:H)</f>
        <v>0</v>
      </c>
      <c r="Q22" s="301">
        <f>SUMIF('10-Glasbewassing'!A:A,A22,'10-Glasbewassing'!G:G)</f>
        <v>0</v>
      </c>
      <c r="R22" s="301" t="e">
        <f t="shared" si="4"/>
        <v>#DIV/0!</v>
      </c>
      <c r="S22" s="301" t="e">
        <f t="shared" si="5"/>
        <v>#DIV/0!</v>
      </c>
      <c r="T22" s="17"/>
      <c r="U22" s="17"/>
      <c r="V22" s="17"/>
      <c r="W22" s="17"/>
      <c r="X22" s="17"/>
      <c r="Y22" s="17"/>
      <c r="Z22" s="17"/>
      <c r="AA22" s="17"/>
      <c r="AB22" s="17"/>
      <c r="AC22" s="17"/>
      <c r="AD22" s="17"/>
      <c r="AE22" s="17"/>
    </row>
    <row r="23" spans="1:31" s="23" customFormat="1" ht="15" customHeight="1">
      <c r="A23" s="22" t="s">
        <v>9</v>
      </c>
      <c r="B23" s="440">
        <f>SUM(B13:B22)</f>
        <v>15868.62</v>
      </c>
      <c r="C23" s="372"/>
      <c r="D23" s="347"/>
      <c r="E23" s="347"/>
      <c r="F23" s="438" t="e">
        <f t="shared" ref="F23:S23" si="6">SUM(F13:F22)</f>
        <v>#DIV/0!</v>
      </c>
      <c r="G23" s="438">
        <f t="shared" si="6"/>
        <v>0</v>
      </c>
      <c r="H23" s="438" t="e">
        <f t="shared" si="6"/>
        <v>#DIV/0!</v>
      </c>
      <c r="I23" s="438">
        <f t="shared" si="6"/>
        <v>0</v>
      </c>
      <c r="J23" s="438" t="e">
        <f t="shared" si="6"/>
        <v>#DIV/0!</v>
      </c>
      <c r="K23" s="438">
        <f t="shared" si="6"/>
        <v>0</v>
      </c>
      <c r="L23" s="425" t="e">
        <f t="shared" si="6"/>
        <v>#DIV/0!</v>
      </c>
      <c r="M23" s="425" t="e">
        <f t="shared" si="6"/>
        <v>#DIV/0!</v>
      </c>
      <c r="N23" s="425" t="e">
        <f t="shared" si="6"/>
        <v>#DIV/0!</v>
      </c>
      <c r="O23" s="425" t="e">
        <f t="shared" si="6"/>
        <v>#DIV/0!</v>
      </c>
      <c r="P23" s="425">
        <f t="shared" si="6"/>
        <v>0</v>
      </c>
      <c r="Q23" s="425">
        <f t="shared" si="6"/>
        <v>0</v>
      </c>
      <c r="R23" s="425" t="e">
        <f t="shared" si="6"/>
        <v>#DIV/0!</v>
      </c>
      <c r="S23" s="425" t="e">
        <f t="shared" si="6"/>
        <v>#DIV/0!</v>
      </c>
    </row>
  </sheetData>
  <printOptions horizontalCentered="1" gridLinesSet="0"/>
  <pageMargins left="0.19685039370078741" right="0.19685039370078741" top="0.59055118110236227" bottom="0.78740157480314965" header="0.39370078740157483" footer="0.19685039370078741"/>
  <pageSetup paperSize="9" scale="35"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38"/>
  <sheetViews>
    <sheetView showGridLines="0" zoomScaleNormal="100" workbookViewId="0">
      <pane ySplit="9" topLeftCell="A10" activePane="bottomLeft" state="frozen"/>
      <selection activeCell="B1" sqref="B1"/>
      <selection pane="bottomLeft" activeCell="J9" sqref="J9"/>
    </sheetView>
  </sheetViews>
  <sheetFormatPr defaultColWidth="9.109375" defaultRowHeight="13.2"/>
  <cols>
    <col min="1" max="1" width="29.6640625" style="3" customWidth="1"/>
    <col min="2" max="2" width="9.109375" style="3" customWidth="1"/>
    <col min="3" max="6" width="9.109375" style="3"/>
    <col min="7" max="7" width="9.5546875" style="3" customWidth="1"/>
    <col min="8" max="8" width="9.109375" style="3"/>
    <col min="9" max="9" width="9.109375" style="28"/>
    <col min="10" max="10" width="10.109375" style="3" customWidth="1"/>
    <col min="11" max="11" width="3" style="3" customWidth="1"/>
    <col min="12" max="12" width="9.109375" style="28"/>
    <col min="13" max="13" width="9.109375" style="3"/>
    <col min="14" max="14" width="30.44140625" style="3" customWidth="1"/>
    <col min="15" max="16384" width="9.109375" style="3"/>
  </cols>
  <sheetData>
    <row r="1" spans="1:12">
      <c r="A1" s="279" t="s">
        <v>22</v>
      </c>
    </row>
    <row r="3" spans="1:12" ht="15">
      <c r="A3" s="26" t="str">
        <f>'2-Kosten per locatie'!A3</f>
        <v>Naam opdrachtgever</v>
      </c>
      <c r="B3" s="52" t="str">
        <f>'2-Kosten per locatie'!B3</f>
        <v>Stichting Christelijk Onderwijs Haaglanden</v>
      </c>
      <c r="C3" s="278"/>
    </row>
    <row r="4" spans="1:12" ht="15">
      <c r="A4" s="26" t="str">
        <f>'2-Kosten per locatie'!A4</f>
        <v>Calculatie onderdeel</v>
      </c>
      <c r="B4" s="52" t="str">
        <f ca="1">MID(CELL("bestandsnaam",$B$7),SEARCH("]",CELL("bestandsnaam",$B$7),1)+1,256)</f>
        <v>3-Productie normen</v>
      </c>
      <c r="C4" s="52"/>
    </row>
    <row r="5" spans="1:12" ht="15">
      <c r="A5" s="26" t="str">
        <f>'2-Kosten per locatie'!A5</f>
        <v>Gebouw/plaats</v>
      </c>
      <c r="B5" s="52" t="str">
        <f>'2-Kosten per locatie'!B5</f>
        <v>Den Haag</v>
      </c>
      <c r="C5" s="52"/>
    </row>
    <row r="6" spans="1:12" ht="15">
      <c r="A6" s="26" t="str">
        <f>'2-Kosten per locatie'!A6</f>
        <v>Referentie nummer</v>
      </c>
      <c r="B6" s="52" t="str">
        <f>'2-Kosten per locatie'!B6</f>
        <v>SCOH-EA-DK-RT-2023</v>
      </c>
      <c r="C6" s="52"/>
      <c r="E6" s="276" t="s">
        <v>168</v>
      </c>
      <c r="F6" s="277"/>
      <c r="G6" s="50" t="e">
        <f>SUM('4-Basis ruimtestaat'!U:U)/SUM('4-Basis ruimtestaat'!N:O)</f>
        <v>#DIV/0!</v>
      </c>
      <c r="H6" s="51" t="s">
        <v>169</v>
      </c>
    </row>
    <row r="7" spans="1:12">
      <c r="A7" s="29"/>
      <c r="B7" s="30"/>
      <c r="C7" s="30"/>
      <c r="D7" s="31"/>
      <c r="E7" s="32"/>
      <c r="F7" s="32"/>
      <c r="G7" s="33"/>
      <c r="J7" s="34"/>
      <c r="K7" s="35"/>
    </row>
    <row r="8" spans="1:12" ht="27.75" customHeight="1">
      <c r="A8" s="47" t="s">
        <v>98</v>
      </c>
      <c r="B8" s="48"/>
      <c r="C8" s="421">
        <v>80</v>
      </c>
      <c r="D8" s="421">
        <v>120</v>
      </c>
      <c r="E8" s="421">
        <v>210</v>
      </c>
      <c r="F8" s="421">
        <v>200</v>
      </c>
      <c r="G8" s="421">
        <v>255</v>
      </c>
      <c r="J8" s="280">
        <v>0</v>
      </c>
      <c r="K8" s="36"/>
    </row>
    <row r="9" spans="1:12" ht="58.2" customHeight="1">
      <c r="A9" s="271" t="s">
        <v>51</v>
      </c>
      <c r="B9" s="474" t="s">
        <v>119</v>
      </c>
      <c r="C9" s="475"/>
      <c r="D9" s="475"/>
      <c r="E9" s="475"/>
      <c r="F9" s="475"/>
      <c r="G9" s="476"/>
      <c r="I9" s="270" t="s">
        <v>170</v>
      </c>
      <c r="J9" s="49" t="s">
        <v>210</v>
      </c>
      <c r="K9" s="36"/>
      <c r="L9" s="270" t="s">
        <v>99</v>
      </c>
    </row>
    <row r="10" spans="1:12">
      <c r="A10" s="414" t="s">
        <v>176</v>
      </c>
      <c r="B10" s="440"/>
      <c r="C10" s="440"/>
      <c r="D10" s="440"/>
      <c r="E10" s="440"/>
      <c r="F10" s="448"/>
      <c r="G10" s="440"/>
      <c r="I10" s="272">
        <f>SUMIF('4-Basis ruimtestaat'!H:H,'3-Productie normen'!A10,'4-Basis ruimtestaat'!J:J)</f>
        <v>925.12999999999988</v>
      </c>
      <c r="J10" s="389"/>
      <c r="K10" s="35"/>
      <c r="L10" s="422" t="s">
        <v>105</v>
      </c>
    </row>
    <row r="11" spans="1:12">
      <c r="A11" s="420" t="s">
        <v>17</v>
      </c>
      <c r="B11" s="440"/>
      <c r="C11" s="440"/>
      <c r="D11" s="440"/>
      <c r="E11" s="440"/>
      <c r="F11" s="448"/>
      <c r="G11" s="440"/>
      <c r="I11" s="272">
        <f>SUMIF('4-Basis ruimtestaat'!H:H,'3-Productie normen'!A11,'4-Basis ruimtestaat'!J:J)</f>
        <v>471.33000000000004</v>
      </c>
      <c r="K11" s="35"/>
      <c r="L11" s="422" t="s">
        <v>107</v>
      </c>
    </row>
    <row r="12" spans="1:12">
      <c r="A12" s="420" t="s">
        <v>232</v>
      </c>
      <c r="B12" s="440"/>
      <c r="C12" s="440"/>
      <c r="D12" s="440"/>
      <c r="E12" s="440"/>
      <c r="F12" s="448"/>
      <c r="G12" s="440"/>
      <c r="I12" s="272">
        <f>SUMIF('4-Basis ruimtestaat'!H:H,'3-Productie normen'!A12,'4-Basis ruimtestaat'!J:J)</f>
        <v>3326.6600000000003</v>
      </c>
      <c r="L12" s="422" t="s">
        <v>106</v>
      </c>
    </row>
    <row r="13" spans="1:12">
      <c r="A13" s="420" t="s">
        <v>238</v>
      </c>
      <c r="B13" s="440"/>
      <c r="C13" s="440"/>
      <c r="D13" s="440"/>
      <c r="E13" s="440"/>
      <c r="F13" s="448"/>
      <c r="G13" s="440"/>
      <c r="I13" s="272">
        <f>SUMIF('4-Basis ruimtestaat'!H:H,'3-Productie normen'!A13,'4-Basis ruimtestaat'!J:J)</f>
        <v>2</v>
      </c>
      <c r="L13" s="422" t="s">
        <v>106</v>
      </c>
    </row>
    <row r="14" spans="1:12">
      <c r="A14" s="420" t="s">
        <v>226</v>
      </c>
      <c r="B14" s="440"/>
      <c r="C14" s="440"/>
      <c r="D14" s="440"/>
      <c r="E14" s="440"/>
      <c r="F14" s="448"/>
      <c r="G14" s="440"/>
      <c r="I14" s="272">
        <f>SUMIF('4-Basis ruimtestaat'!H:H,'3-Productie normen'!A14,'4-Basis ruimtestaat'!J:J)</f>
        <v>340.06999999999994</v>
      </c>
      <c r="L14" s="422" t="s">
        <v>106</v>
      </c>
    </row>
    <row r="15" spans="1:12">
      <c r="A15" s="420" t="s">
        <v>177</v>
      </c>
      <c r="B15" s="440"/>
      <c r="C15" s="440"/>
      <c r="D15" s="440"/>
      <c r="E15" s="440"/>
      <c r="F15" s="448"/>
      <c r="G15" s="440"/>
      <c r="I15" s="272">
        <f>SUMIF('4-Basis ruimtestaat'!H:H,'3-Productie normen'!A15,'4-Basis ruimtestaat'!J:J)</f>
        <v>74.62</v>
      </c>
      <c r="L15" s="422" t="s">
        <v>106</v>
      </c>
    </row>
    <row r="16" spans="1:12">
      <c r="A16" s="420" t="s">
        <v>231</v>
      </c>
      <c r="B16" s="440"/>
      <c r="C16" s="440"/>
      <c r="D16" s="440"/>
      <c r="E16" s="440"/>
      <c r="F16" s="448"/>
      <c r="G16" s="440"/>
      <c r="I16" s="272">
        <f>SUMIF('4-Basis ruimtestaat'!H:H,'3-Productie normen'!A16,'4-Basis ruimtestaat'!J:J)</f>
        <v>688.93</v>
      </c>
      <c r="L16" s="422" t="s">
        <v>349</v>
      </c>
    </row>
    <row r="17" spans="1:12">
      <c r="A17" s="420" t="s">
        <v>233</v>
      </c>
      <c r="B17" s="440"/>
      <c r="C17" s="440"/>
      <c r="D17" s="440"/>
      <c r="E17" s="440"/>
      <c r="F17" s="448"/>
      <c r="G17" s="440"/>
      <c r="I17" s="272">
        <f>SUMIF('4-Basis ruimtestaat'!H:H,'3-Productie normen'!A17,'4-Basis ruimtestaat'!J:J)</f>
        <v>3562.9700000000003</v>
      </c>
      <c r="L17" s="422" t="s">
        <v>349</v>
      </c>
    </row>
    <row r="18" spans="1:12">
      <c r="A18" s="420" t="s">
        <v>240</v>
      </c>
      <c r="B18" s="440"/>
      <c r="C18" s="440"/>
      <c r="D18" s="440"/>
      <c r="E18" s="440"/>
      <c r="F18" s="448"/>
      <c r="G18" s="440"/>
      <c r="I18" s="272">
        <f>SUMIF('4-Basis ruimtestaat'!H:H,'3-Productie normen'!A18,'4-Basis ruimtestaat'!J:J)</f>
        <v>2274.38</v>
      </c>
      <c r="L18" s="422" t="s">
        <v>106</v>
      </c>
    </row>
    <row r="19" spans="1:12">
      <c r="A19" s="420" t="s">
        <v>244</v>
      </c>
      <c r="B19" s="440"/>
      <c r="C19" s="440"/>
      <c r="D19" s="440"/>
      <c r="E19" s="440"/>
      <c r="F19" s="448"/>
      <c r="G19" s="440"/>
      <c r="I19" s="272">
        <f>SUMIF('4-Basis ruimtestaat'!H:H,'3-Productie normen'!A19,'4-Basis ruimtestaat'!J:J)</f>
        <v>194.28000000000003</v>
      </c>
      <c r="L19" s="422" t="s">
        <v>107</v>
      </c>
    </row>
    <row r="20" spans="1:12">
      <c r="A20" s="420" t="s">
        <v>230</v>
      </c>
      <c r="B20" s="440"/>
      <c r="C20" s="440"/>
      <c r="D20" s="440"/>
      <c r="E20" s="440"/>
      <c r="F20" s="448"/>
      <c r="G20" s="440"/>
      <c r="I20" s="272">
        <f>SUMIF('4-Basis ruimtestaat'!H:H,'3-Productie normen'!A20,'4-Basis ruimtestaat'!J:J)</f>
        <v>412.63</v>
      </c>
      <c r="L20" s="422" t="s">
        <v>107</v>
      </c>
    </row>
    <row r="21" spans="1:12">
      <c r="A21" s="420" t="s">
        <v>236</v>
      </c>
      <c r="B21" s="440"/>
      <c r="C21" s="440"/>
      <c r="D21" s="440"/>
      <c r="E21" s="440"/>
      <c r="F21" s="448"/>
      <c r="G21" s="440"/>
      <c r="I21" s="272">
        <f>SUMIF('4-Basis ruimtestaat'!H:H,'3-Productie normen'!A21,'4-Basis ruimtestaat'!J:J)</f>
        <v>1938.7199999999998</v>
      </c>
      <c r="L21" s="422" t="s">
        <v>106</v>
      </c>
    </row>
    <row r="22" spans="1:12">
      <c r="A22" s="420" t="s">
        <v>90</v>
      </c>
      <c r="B22" s="440"/>
      <c r="C22" s="440"/>
      <c r="D22" s="440"/>
      <c r="E22" s="440"/>
      <c r="F22" s="448"/>
      <c r="G22" s="440"/>
      <c r="I22" s="272">
        <f>SUMIF('4-Basis ruimtestaat'!H:H,'3-Productie normen'!A22,'4-Basis ruimtestaat'!J:J)</f>
        <v>272</v>
      </c>
      <c r="L22" s="422" t="s">
        <v>106</v>
      </c>
    </row>
    <row r="23" spans="1:12">
      <c r="A23" s="420" t="s">
        <v>1</v>
      </c>
      <c r="B23" s="440"/>
      <c r="C23" s="440"/>
      <c r="D23" s="440"/>
      <c r="E23" s="440"/>
      <c r="F23" s="448"/>
      <c r="G23" s="440"/>
      <c r="I23" s="272">
        <f>SUMIF('4-Basis ruimtestaat'!H:H,'3-Productie normen'!A23,'4-Basis ruimtestaat'!J:J)</f>
        <v>443.49000000000012</v>
      </c>
      <c r="L23" s="422" t="s">
        <v>106</v>
      </c>
    </row>
    <row r="24" spans="1:12">
      <c r="A24" s="420" t="s">
        <v>235</v>
      </c>
      <c r="B24" s="440"/>
      <c r="C24" s="440"/>
      <c r="D24" s="440"/>
      <c r="E24" s="440"/>
      <c r="F24" s="448"/>
      <c r="G24" s="440"/>
      <c r="I24" s="272">
        <f>SUMIF('4-Basis ruimtestaat'!H:H,'3-Productie normen'!A24,'4-Basis ruimtestaat'!J:J)</f>
        <v>66.61999999999999</v>
      </c>
      <c r="L24" s="422" t="s">
        <v>107</v>
      </c>
    </row>
    <row r="25" spans="1:12">
      <c r="A25" s="37"/>
      <c r="B25" s="440"/>
      <c r="C25" s="440"/>
      <c r="D25" s="440"/>
      <c r="E25" s="440"/>
      <c r="F25" s="440"/>
      <c r="G25" s="440"/>
      <c r="I25" s="272">
        <f>SUMIF('4-Basis ruimtestaat'!H:H,'3-Productie normen'!A25,'4-Basis ruimtestaat'!J:J)</f>
        <v>0</v>
      </c>
      <c r="L25" s="38"/>
    </row>
    <row r="26" spans="1:12">
      <c r="A26" s="37" t="s">
        <v>101</v>
      </c>
      <c r="B26" s="327"/>
      <c r="C26" s="327"/>
      <c r="D26" s="327"/>
      <c r="E26" s="327"/>
      <c r="F26" s="42"/>
      <c r="G26" s="327"/>
      <c r="I26" s="272">
        <f>SUMIF('4-Basis ruimtestaat'!H:H,'3-Productie normen'!A26,'4-Basis ruimtestaat'!J:J)</f>
        <v>874.79</v>
      </c>
      <c r="L26" s="38"/>
    </row>
    <row r="27" spans="1:12">
      <c r="A27" s="37"/>
      <c r="B27" s="39"/>
      <c r="C27" s="39"/>
      <c r="D27" s="39"/>
      <c r="E27" s="39"/>
      <c r="F27" s="43"/>
      <c r="G27" s="39"/>
      <c r="I27" s="272"/>
      <c r="K27" s="36"/>
      <c r="L27" s="38"/>
    </row>
    <row r="28" spans="1:12">
      <c r="A28" s="273" t="s">
        <v>9</v>
      </c>
      <c r="B28" s="167"/>
      <c r="C28" s="167"/>
      <c r="D28" s="167"/>
      <c r="E28" s="167"/>
      <c r="F28" s="44"/>
      <c r="G28" s="167"/>
      <c r="I28" s="275">
        <f>SUM(I10:I27)</f>
        <v>15868.619999999999</v>
      </c>
      <c r="K28" s="35"/>
      <c r="L28" s="274"/>
    </row>
    <row r="29" spans="1:12">
      <c r="I29" s="3"/>
      <c r="K29" s="35"/>
      <c r="L29" s="3"/>
    </row>
    <row r="30" spans="1:12">
      <c r="A30" s="45" t="s">
        <v>167</v>
      </c>
      <c r="B30" s="46">
        <v>2</v>
      </c>
      <c r="C30" s="46">
        <v>3</v>
      </c>
      <c r="D30" s="46">
        <v>4</v>
      </c>
      <c r="E30" s="46">
        <v>5</v>
      </c>
      <c r="F30" s="46">
        <v>6</v>
      </c>
      <c r="G30" s="46">
        <v>7</v>
      </c>
    </row>
    <row r="32" spans="1:12">
      <c r="A32" s="397" t="s">
        <v>185</v>
      </c>
      <c r="B32" s="397" t="s">
        <v>100</v>
      </c>
      <c r="C32" s="398" t="s">
        <v>165</v>
      </c>
    </row>
    <row r="33" spans="1:3">
      <c r="A33" s="402"/>
      <c r="B33" s="399"/>
      <c r="C33" s="400">
        <v>2</v>
      </c>
    </row>
    <row r="34" spans="1:3">
      <c r="A34" s="402" t="s">
        <v>353</v>
      </c>
      <c r="B34" s="399">
        <v>80</v>
      </c>
      <c r="C34" s="400">
        <v>3</v>
      </c>
    </row>
    <row r="35" spans="1:3">
      <c r="A35" s="402" t="s">
        <v>354</v>
      </c>
      <c r="B35" s="399">
        <v>120</v>
      </c>
      <c r="C35" s="400">
        <v>4</v>
      </c>
    </row>
    <row r="36" spans="1:3">
      <c r="A36" s="402" t="s">
        <v>351</v>
      </c>
      <c r="B36" s="399">
        <v>210</v>
      </c>
      <c r="C36" s="400">
        <v>5</v>
      </c>
    </row>
    <row r="37" spans="1:3">
      <c r="A37" s="402" t="s">
        <v>350</v>
      </c>
      <c r="B37" s="399">
        <v>200</v>
      </c>
      <c r="C37" s="400">
        <v>6</v>
      </c>
    </row>
    <row r="38" spans="1:3">
      <c r="A38" s="402" t="s">
        <v>352</v>
      </c>
      <c r="B38" s="401">
        <v>255</v>
      </c>
      <c r="C38" s="400">
        <v>7</v>
      </c>
    </row>
  </sheetData>
  <mergeCells count="1">
    <mergeCell ref="B9:G9"/>
  </mergeCells>
  <pageMargins left="0.7" right="0.7" top="0.75" bottom="0.75" header="0.3" footer="0.3"/>
  <pageSetup paperSize="9" scale="48"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589"/>
  <sheetViews>
    <sheetView showGridLines="0" showZeros="0" zoomScaleNormal="100" zoomScalePageLayoutView="75" workbookViewId="0">
      <pane xSplit="1" ySplit="9" topLeftCell="B10" activePane="bottomRight" state="frozen"/>
      <selection activeCell="B1" sqref="B1"/>
      <selection pane="topRight" activeCell="B1" sqref="B1"/>
      <selection pane="bottomLeft" activeCell="B1" sqref="B1"/>
      <selection pane="bottomRight" activeCell="F14" sqref="F14"/>
    </sheetView>
  </sheetViews>
  <sheetFormatPr defaultColWidth="8.6640625" defaultRowHeight="14.1" customHeight="1"/>
  <cols>
    <col min="1" max="1" width="5" style="3" bestFit="1" customWidth="1"/>
    <col min="2" max="2" width="27.5546875" style="3" customWidth="1"/>
    <col min="3" max="3" width="22.5546875" style="3" customWidth="1"/>
    <col min="4" max="4" width="21.21875" style="415" customWidth="1"/>
    <col min="5" max="5" width="18.6640625" style="415" customWidth="1"/>
    <col min="6" max="6" width="10.109375" style="3" customWidth="1"/>
    <col min="7" max="7" width="23.44140625" style="3" customWidth="1"/>
    <col min="8" max="8" width="19.5546875" style="3" customWidth="1"/>
    <col min="9" max="9" width="12.109375" style="3" bestFit="1" customWidth="1"/>
    <col min="10" max="10" width="8" style="24" bestFit="1" customWidth="1"/>
    <col min="11" max="11" width="10.6640625" style="196" customWidth="1"/>
    <col min="12" max="13" width="9.109375" style="85" customWidth="1"/>
    <col min="14" max="15" width="12.5546875" style="3" bestFit="1" customWidth="1"/>
    <col min="16" max="16" width="12" style="3" bestFit="1" customWidth="1"/>
    <col min="17" max="17" width="16.6640625" style="3" customWidth="1"/>
    <col min="18" max="18" width="9.33203125" style="3" customWidth="1"/>
    <col min="19" max="19" width="35.109375" style="3" customWidth="1"/>
    <col min="20" max="20" width="3" style="3" customWidth="1"/>
    <col min="21" max="21" width="11.109375" style="3" customWidth="1"/>
    <col min="22" max="22" width="15.5546875" style="3" bestFit="1" customWidth="1"/>
    <col min="23" max="16384" width="8.6640625" style="3"/>
  </cols>
  <sheetData>
    <row r="1" spans="1:21" ht="13.2">
      <c r="A1" s="54">
        <v>1</v>
      </c>
      <c r="B1" s="279" t="s">
        <v>22</v>
      </c>
      <c r="L1" s="3"/>
      <c r="M1" s="28"/>
    </row>
    <row r="2" spans="1:21" ht="14.1" customHeight="1">
      <c r="A2" s="54">
        <f>A1+1</f>
        <v>2</v>
      </c>
      <c r="B2" s="55"/>
      <c r="C2" s="55"/>
      <c r="D2" s="57"/>
      <c r="E2" s="57"/>
      <c r="F2" s="57"/>
      <c r="G2" s="58"/>
      <c r="H2" s="58"/>
      <c r="I2" s="59"/>
      <c r="J2" s="462"/>
      <c r="K2" s="340"/>
      <c r="L2" s="60"/>
      <c r="M2" s="60"/>
      <c r="N2" s="59"/>
      <c r="O2" s="59"/>
      <c r="P2" s="61"/>
      <c r="Q2" s="61"/>
      <c r="R2" s="58"/>
      <c r="S2" s="58"/>
    </row>
    <row r="3" spans="1:21" ht="14.1" customHeight="1">
      <c r="A3" s="54">
        <f t="shared" ref="A3:A66" si="0">A2+1</f>
        <v>3</v>
      </c>
      <c r="B3" s="26" t="str">
        <f>'2-Kosten per locatie'!A3</f>
        <v>Naam opdrachtgever</v>
      </c>
      <c r="C3" s="52" t="str">
        <f>'2-Kosten per locatie'!B3</f>
        <v>Stichting Christelijk Onderwijs Haaglanden</v>
      </c>
      <c r="F3" s="62"/>
      <c r="I3" s="59"/>
      <c r="J3" s="462"/>
      <c r="K3" s="340"/>
      <c r="L3" s="60"/>
      <c r="M3" s="60"/>
      <c r="N3" s="59"/>
      <c r="O3" s="59"/>
      <c r="P3" s="61"/>
      <c r="Q3" s="61"/>
      <c r="R3" s="58"/>
      <c r="S3" s="58"/>
    </row>
    <row r="4" spans="1:21" ht="14.1" customHeight="1">
      <c r="A4" s="54">
        <f t="shared" si="0"/>
        <v>4</v>
      </c>
      <c r="B4" s="26" t="str">
        <f>'2-Kosten per locatie'!A4</f>
        <v>Calculatie onderdeel</v>
      </c>
      <c r="C4" s="52" t="str">
        <f ca="1">MID(CELL("bestandsnaam",$E$9),SEARCH("]",CELL("bestandsnaam",$E$9),1)+1,256)</f>
        <v>4-Basis ruimtestaat</v>
      </c>
      <c r="F4" s="63"/>
      <c r="I4" s="59"/>
      <c r="J4" s="462"/>
      <c r="K4" s="340"/>
      <c r="L4" s="60"/>
      <c r="M4" s="60"/>
      <c r="N4" s="59"/>
      <c r="O4" s="59"/>
      <c r="P4" s="61"/>
      <c r="Q4" s="61"/>
      <c r="R4" s="58"/>
      <c r="S4" s="58"/>
    </row>
    <row r="5" spans="1:21" ht="14.1" customHeight="1">
      <c r="A5" s="54">
        <f t="shared" si="0"/>
        <v>5</v>
      </c>
      <c r="B5" s="26" t="str">
        <f>'2-Kosten per locatie'!A5</f>
        <v>Gebouw/plaats</v>
      </c>
      <c r="C5" s="52" t="str">
        <f>'2-Kosten per locatie'!B5</f>
        <v>Den Haag</v>
      </c>
      <c r="F5" s="62"/>
      <c r="I5" s="59"/>
      <c r="J5" s="462"/>
      <c r="K5" s="340"/>
      <c r="L5" s="60"/>
      <c r="M5" s="60"/>
      <c r="N5" s="59"/>
      <c r="O5" s="59"/>
      <c r="P5" s="61"/>
      <c r="Q5" s="61"/>
      <c r="R5" s="58"/>
      <c r="S5" s="58"/>
    </row>
    <row r="6" spans="1:21" ht="14.1" customHeight="1">
      <c r="A6" s="54">
        <f t="shared" si="0"/>
        <v>6</v>
      </c>
      <c r="B6" s="26" t="str">
        <f>'2-Kosten per locatie'!A6</f>
        <v>Referentie nummer</v>
      </c>
      <c r="C6" s="52" t="str">
        <f>'2-Kosten per locatie'!B6</f>
        <v>SCOH-EA-DK-RT-2023</v>
      </c>
      <c r="F6" s="62"/>
      <c r="I6" s="59"/>
      <c r="J6" s="462"/>
      <c r="K6" s="340"/>
      <c r="L6" s="60"/>
      <c r="M6" s="60"/>
      <c r="N6" s="59"/>
      <c r="O6" s="59"/>
      <c r="P6" s="61"/>
      <c r="Q6" s="477" t="s">
        <v>102</v>
      </c>
      <c r="R6" s="58"/>
      <c r="S6" s="58"/>
    </row>
    <row r="7" spans="1:21" ht="12.75" customHeight="1">
      <c r="A7" s="54">
        <f t="shared" si="0"/>
        <v>7</v>
      </c>
      <c r="B7" s="26" t="str">
        <f>'2-Kosten per locatie'!A7</f>
        <v>Naam dienstverlener</v>
      </c>
      <c r="C7" s="52">
        <f>'2-Kosten per locatie'!B7</f>
        <v>0</v>
      </c>
      <c r="F7" s="62"/>
      <c r="I7" s="59"/>
      <c r="J7" s="462"/>
      <c r="K7" s="340"/>
      <c r="L7" s="60"/>
      <c r="M7" s="60"/>
      <c r="N7" s="59"/>
      <c r="O7" s="59"/>
      <c r="P7" s="61"/>
      <c r="Q7" s="478"/>
      <c r="R7" s="58"/>
      <c r="S7" s="58"/>
    </row>
    <row r="8" spans="1:21" ht="14.1" customHeight="1">
      <c r="A8" s="54">
        <f t="shared" si="0"/>
        <v>8</v>
      </c>
      <c r="B8" s="58"/>
      <c r="C8" s="58"/>
      <c r="D8" s="57"/>
      <c r="E8" s="57"/>
      <c r="F8" s="57"/>
      <c r="G8" s="58"/>
      <c r="H8" s="58"/>
      <c r="I8" s="59"/>
      <c r="J8" s="462"/>
      <c r="K8" s="340"/>
      <c r="L8" s="60"/>
      <c r="M8" s="60"/>
      <c r="N8" s="59"/>
      <c r="O8" s="59"/>
      <c r="P8" s="59"/>
      <c r="Q8" s="64">
        <f>'3-Productie normen'!J8</f>
        <v>0</v>
      </c>
      <c r="R8" s="58"/>
      <c r="S8" s="58"/>
    </row>
    <row r="9" spans="1:21" ht="44.1" customHeight="1">
      <c r="A9" s="54">
        <f t="shared" si="0"/>
        <v>9</v>
      </c>
      <c r="B9" s="65" t="s">
        <v>75</v>
      </c>
      <c r="C9" s="65" t="s">
        <v>94</v>
      </c>
      <c r="D9" s="65" t="s">
        <v>97</v>
      </c>
      <c r="E9" s="65" t="s">
        <v>76</v>
      </c>
      <c r="F9" s="66" t="s">
        <v>81</v>
      </c>
      <c r="G9" s="65" t="s">
        <v>82</v>
      </c>
      <c r="H9" s="65" t="s">
        <v>83</v>
      </c>
      <c r="I9" s="67" t="s">
        <v>84</v>
      </c>
      <c r="J9" s="463" t="s">
        <v>85</v>
      </c>
      <c r="K9" s="69" t="s">
        <v>203</v>
      </c>
      <c r="L9" s="68" t="s">
        <v>164</v>
      </c>
      <c r="M9" s="68" t="s">
        <v>163</v>
      </c>
      <c r="N9" s="69" t="s">
        <v>86</v>
      </c>
      <c r="O9" s="69" t="s">
        <v>166</v>
      </c>
      <c r="P9" s="69" t="s">
        <v>103</v>
      </c>
      <c r="Q9" s="69" t="s">
        <v>210</v>
      </c>
      <c r="R9" s="282" t="s">
        <v>87</v>
      </c>
      <c r="S9" s="326" t="s">
        <v>175</v>
      </c>
      <c r="T9" s="53"/>
      <c r="U9" s="282" t="s">
        <v>88</v>
      </c>
    </row>
    <row r="10" spans="1:21" s="76" customFormat="1" ht="14.1" customHeight="1">
      <c r="A10" s="54">
        <f t="shared" si="0"/>
        <v>10</v>
      </c>
      <c r="B10" s="70" t="s">
        <v>380</v>
      </c>
      <c r="C10" s="70" t="s">
        <v>381</v>
      </c>
      <c r="D10" s="416" t="s">
        <v>382</v>
      </c>
      <c r="E10" s="416" t="s">
        <v>89</v>
      </c>
      <c r="F10" s="71" t="s">
        <v>258</v>
      </c>
      <c r="G10" s="70" t="s">
        <v>247</v>
      </c>
      <c r="H10" s="70" t="s">
        <v>90</v>
      </c>
      <c r="I10" s="40" t="s">
        <v>225</v>
      </c>
      <c r="J10" s="460">
        <v>61.23</v>
      </c>
      <c r="K10" s="371">
        <f t="shared" ref="K10:K73" si="1">SUM(L10:M10)</f>
        <v>200</v>
      </c>
      <c r="L10" s="72">
        <v>200</v>
      </c>
      <c r="M10" s="72"/>
      <c r="N10" s="73" t="e">
        <f t="shared" ref="N10:N73" si="2">IF(L10="nio",0,IF(L10&gt;0,L10*J10/P10,0))</f>
        <v>#DIV/0!</v>
      </c>
      <c r="O10" s="73">
        <f t="shared" ref="O10:O73" si="3">IF(M10&gt;0,M10*J10/Q10,0)</f>
        <v>0</v>
      </c>
      <c r="P10" s="74">
        <f>IF(L10="nio",0,IF(L10&gt;0,VLOOKUP(H10,'3-Productie normen'!A:J,VLOOKUP(L10,'3-Productie normen'!$B$33:$C$38,2,FALSE),FALSE)))/VLOOKUP(B10,'2-Kosten per locatie'!$A$12:$C$23,3,FALSE)</f>
        <v>0</v>
      </c>
      <c r="Q10" s="74">
        <f t="shared" ref="Q10:Q73" si="4">IF(M10&gt;0,P10*$Q$8,0)</f>
        <v>0</v>
      </c>
      <c r="R10" s="75" t="str">
        <f>VLOOKUP(H10,'3-Productie normen'!A:L,12,FALSE)</f>
        <v>V</v>
      </c>
      <c r="S10" s="75"/>
      <c r="T10" s="3"/>
      <c r="U10" s="41">
        <f t="shared" ref="U10:U73" si="5">K10*J10</f>
        <v>12246</v>
      </c>
    </row>
    <row r="11" spans="1:21" ht="14.1" customHeight="1">
      <c r="A11" s="54">
        <f t="shared" si="0"/>
        <v>11</v>
      </c>
      <c r="B11" s="70" t="s">
        <v>380</v>
      </c>
      <c r="C11" s="70" t="s">
        <v>381</v>
      </c>
      <c r="D11" s="416" t="s">
        <v>382</v>
      </c>
      <c r="E11" s="416" t="s">
        <v>89</v>
      </c>
      <c r="F11" s="71" t="s">
        <v>271</v>
      </c>
      <c r="G11" s="70" t="s">
        <v>233</v>
      </c>
      <c r="H11" s="70" t="s">
        <v>233</v>
      </c>
      <c r="I11" s="40" t="s">
        <v>225</v>
      </c>
      <c r="J11" s="460">
        <v>49.86</v>
      </c>
      <c r="K11" s="371">
        <f t="shared" si="1"/>
        <v>200</v>
      </c>
      <c r="L11" s="72">
        <v>200</v>
      </c>
      <c r="M11" s="72"/>
      <c r="N11" s="73" t="e">
        <f t="shared" si="2"/>
        <v>#DIV/0!</v>
      </c>
      <c r="O11" s="73">
        <f t="shared" si="3"/>
        <v>0</v>
      </c>
      <c r="P11" s="74">
        <f>IF(L11="nio",0,IF(L11&gt;0,VLOOKUP(H11,'3-Productie normen'!A:J,VLOOKUP(L11,'3-Productie normen'!$B$33:$C$38,2,FALSE),FALSE)))/VLOOKUP(B11,'2-Kosten per locatie'!$A$12:$C$23,3,FALSE)</f>
        <v>0</v>
      </c>
      <c r="Q11" s="74">
        <f t="shared" si="4"/>
        <v>0</v>
      </c>
      <c r="R11" s="75" t="str">
        <f>VLOOKUP(H11,'3-Productie normen'!A:L,12,FALSE)</f>
        <v>L</v>
      </c>
      <c r="S11" s="75"/>
      <c r="U11" s="41">
        <f t="shared" si="5"/>
        <v>9972</v>
      </c>
    </row>
    <row r="12" spans="1:21" ht="14.1" customHeight="1">
      <c r="A12" s="54">
        <f t="shared" si="0"/>
        <v>12</v>
      </c>
      <c r="B12" s="70" t="s">
        <v>380</v>
      </c>
      <c r="C12" s="70" t="s">
        <v>381</v>
      </c>
      <c r="D12" s="416" t="s">
        <v>382</v>
      </c>
      <c r="E12" s="416" t="s">
        <v>89</v>
      </c>
      <c r="F12" s="71" t="s">
        <v>259</v>
      </c>
      <c r="G12" s="70" t="s">
        <v>17</v>
      </c>
      <c r="H12" s="70" t="s">
        <v>17</v>
      </c>
      <c r="I12" s="40" t="s">
        <v>250</v>
      </c>
      <c r="J12" s="460">
        <v>5.37</v>
      </c>
      <c r="K12" s="371">
        <f t="shared" si="1"/>
        <v>200</v>
      </c>
      <c r="L12" s="72">
        <v>200</v>
      </c>
      <c r="M12" s="72"/>
      <c r="N12" s="73" t="e">
        <f t="shared" si="2"/>
        <v>#DIV/0!</v>
      </c>
      <c r="O12" s="73">
        <f t="shared" si="3"/>
        <v>0</v>
      </c>
      <c r="P12" s="74">
        <f>IF(L12="nio",0,IF(L12&gt;0,VLOOKUP(H12,'3-Productie normen'!A:J,VLOOKUP(L12,'3-Productie normen'!$B$33:$C$38,2,FALSE),FALSE)))/VLOOKUP(B12,'2-Kosten per locatie'!$A$12:$C$23,3,FALSE)</f>
        <v>0</v>
      </c>
      <c r="Q12" s="74">
        <f t="shared" si="4"/>
        <v>0</v>
      </c>
      <c r="R12" s="75" t="str">
        <f>VLOOKUP(H12,'3-Productie normen'!A:L,12,FALSE)</f>
        <v>S</v>
      </c>
      <c r="S12" s="75"/>
      <c r="U12" s="41">
        <f t="shared" si="5"/>
        <v>1074</v>
      </c>
    </row>
    <row r="13" spans="1:21" ht="14.1" customHeight="1">
      <c r="A13" s="54">
        <f t="shared" si="0"/>
        <v>13</v>
      </c>
      <c r="B13" s="70" t="s">
        <v>380</v>
      </c>
      <c r="C13" s="70" t="s">
        <v>381</v>
      </c>
      <c r="D13" s="416" t="s">
        <v>382</v>
      </c>
      <c r="E13" s="416" t="s">
        <v>89</v>
      </c>
      <c r="F13" s="71" t="s">
        <v>260</v>
      </c>
      <c r="G13" s="40" t="s">
        <v>233</v>
      </c>
      <c r="H13" s="40" t="s">
        <v>233</v>
      </c>
      <c r="I13" s="40" t="s">
        <v>225</v>
      </c>
      <c r="J13" s="460">
        <v>49.75</v>
      </c>
      <c r="K13" s="371">
        <f t="shared" si="1"/>
        <v>200</v>
      </c>
      <c r="L13" s="72">
        <v>200</v>
      </c>
      <c r="M13" s="72"/>
      <c r="N13" s="73" t="e">
        <f t="shared" si="2"/>
        <v>#DIV/0!</v>
      </c>
      <c r="O13" s="73">
        <f t="shared" si="3"/>
        <v>0</v>
      </c>
      <c r="P13" s="74">
        <f>IF(L13="nio",0,IF(L13&gt;0,VLOOKUP(H13,'3-Productie normen'!A:J,VLOOKUP(L13,'3-Productie normen'!$B$33:$C$38,2,FALSE),FALSE)))/VLOOKUP(B13,'2-Kosten per locatie'!$A$12:$C$23,3,FALSE)</f>
        <v>0</v>
      </c>
      <c r="Q13" s="74">
        <f t="shared" si="4"/>
        <v>0</v>
      </c>
      <c r="R13" s="75" t="str">
        <f>VLOOKUP(H13,'3-Productie normen'!A:L,12,FALSE)</f>
        <v>L</v>
      </c>
      <c r="S13" s="75"/>
      <c r="U13" s="41">
        <f t="shared" si="5"/>
        <v>9950</v>
      </c>
    </row>
    <row r="14" spans="1:21" ht="14.1" customHeight="1">
      <c r="A14" s="54">
        <f t="shared" si="0"/>
        <v>14</v>
      </c>
      <c r="B14" s="70" t="s">
        <v>380</v>
      </c>
      <c r="C14" s="70" t="s">
        <v>381</v>
      </c>
      <c r="D14" s="416" t="s">
        <v>382</v>
      </c>
      <c r="E14" s="416" t="s">
        <v>89</v>
      </c>
      <c r="F14" s="79" t="s">
        <v>383</v>
      </c>
      <c r="G14" s="80" t="s">
        <v>248</v>
      </c>
      <c r="H14" s="328" t="s">
        <v>232</v>
      </c>
      <c r="I14" s="40" t="s">
        <v>225</v>
      </c>
      <c r="J14" s="460">
        <v>9</v>
      </c>
      <c r="K14" s="371">
        <f t="shared" si="1"/>
        <v>200</v>
      </c>
      <c r="L14" s="72">
        <v>200</v>
      </c>
      <c r="M14" s="72"/>
      <c r="N14" s="73" t="e">
        <f t="shared" si="2"/>
        <v>#DIV/0!</v>
      </c>
      <c r="O14" s="73">
        <f t="shared" si="3"/>
        <v>0</v>
      </c>
      <c r="P14" s="74">
        <f>IF(L14="nio",0,IF(L14&gt;0,VLOOKUP(H14,'3-Productie normen'!A:J,VLOOKUP(L14,'3-Productie normen'!$B$33:$C$38,2,FALSE),FALSE)))/VLOOKUP(B14,'2-Kosten per locatie'!$A$12:$C$23,3,FALSE)</f>
        <v>0</v>
      </c>
      <c r="Q14" s="74">
        <f t="shared" si="4"/>
        <v>0</v>
      </c>
      <c r="R14" s="75" t="str">
        <f>VLOOKUP(H14,'3-Productie normen'!A:L,12,FALSE)</f>
        <v>V</v>
      </c>
      <c r="S14" s="75"/>
      <c r="U14" s="41">
        <f t="shared" si="5"/>
        <v>1800</v>
      </c>
    </row>
    <row r="15" spans="1:21" ht="14.1" customHeight="1">
      <c r="A15" s="54">
        <f t="shared" si="0"/>
        <v>15</v>
      </c>
      <c r="B15" s="70" t="s">
        <v>380</v>
      </c>
      <c r="C15" s="70" t="s">
        <v>381</v>
      </c>
      <c r="D15" s="416" t="s">
        <v>382</v>
      </c>
      <c r="E15" s="416" t="s">
        <v>89</v>
      </c>
      <c r="F15" s="71" t="s">
        <v>384</v>
      </c>
      <c r="G15" s="70" t="s">
        <v>248</v>
      </c>
      <c r="H15" s="70" t="s">
        <v>232</v>
      </c>
      <c r="I15" s="40" t="s">
        <v>225</v>
      </c>
      <c r="J15" s="460">
        <v>4.4800000000000004</v>
      </c>
      <c r="K15" s="371">
        <f t="shared" si="1"/>
        <v>200</v>
      </c>
      <c r="L15" s="72">
        <v>200</v>
      </c>
      <c r="M15" s="72"/>
      <c r="N15" s="73" t="e">
        <f t="shared" si="2"/>
        <v>#DIV/0!</v>
      </c>
      <c r="O15" s="73">
        <f t="shared" si="3"/>
        <v>0</v>
      </c>
      <c r="P15" s="74">
        <f>IF(L15="nio",0,IF(L15&gt;0,VLOOKUP(H15,'3-Productie normen'!A:J,VLOOKUP(L15,'3-Productie normen'!$B$33:$C$38,2,FALSE),FALSE)))/VLOOKUP(B15,'2-Kosten per locatie'!$A$12:$C$23,3,FALSE)</f>
        <v>0</v>
      </c>
      <c r="Q15" s="74">
        <f t="shared" si="4"/>
        <v>0</v>
      </c>
      <c r="R15" s="75" t="str">
        <f>VLOOKUP(H15,'3-Productie normen'!A:L,12,FALSE)</f>
        <v>V</v>
      </c>
      <c r="S15" s="75"/>
      <c r="U15" s="41">
        <f t="shared" si="5"/>
        <v>896.00000000000011</v>
      </c>
    </row>
    <row r="16" spans="1:21" ht="14.1" customHeight="1">
      <c r="A16" s="54">
        <f t="shared" si="0"/>
        <v>16</v>
      </c>
      <c r="B16" s="70" t="s">
        <v>380</v>
      </c>
      <c r="C16" s="70" t="s">
        <v>381</v>
      </c>
      <c r="D16" s="416" t="s">
        <v>382</v>
      </c>
      <c r="E16" s="416" t="s">
        <v>89</v>
      </c>
      <c r="F16" s="71" t="s">
        <v>385</v>
      </c>
      <c r="G16" s="70" t="s">
        <v>226</v>
      </c>
      <c r="H16" s="70" t="s">
        <v>226</v>
      </c>
      <c r="I16" s="40" t="s">
        <v>227</v>
      </c>
      <c r="J16" s="460">
        <v>7.55</v>
      </c>
      <c r="K16" s="371">
        <f t="shared" si="1"/>
        <v>200</v>
      </c>
      <c r="L16" s="72">
        <v>200</v>
      </c>
      <c r="M16" s="72"/>
      <c r="N16" s="73" t="e">
        <f t="shared" si="2"/>
        <v>#DIV/0!</v>
      </c>
      <c r="O16" s="73">
        <f t="shared" si="3"/>
        <v>0</v>
      </c>
      <c r="P16" s="74">
        <f>IF(L16="nio",0,IF(L16&gt;0,VLOOKUP(H16,'3-Productie normen'!A:J,VLOOKUP(L16,'3-Productie normen'!$B$33:$C$38,2,FALSE),FALSE)))/VLOOKUP(B16,'2-Kosten per locatie'!$A$12:$C$23,3,FALSE)</f>
        <v>0</v>
      </c>
      <c r="Q16" s="74">
        <f t="shared" si="4"/>
        <v>0</v>
      </c>
      <c r="R16" s="75" t="str">
        <f>VLOOKUP(H16,'3-Productie normen'!A:L,12,FALSE)</f>
        <v>V</v>
      </c>
      <c r="S16" s="75"/>
      <c r="U16" s="41">
        <f t="shared" si="5"/>
        <v>1510</v>
      </c>
    </row>
    <row r="17" spans="1:21" ht="14.1" customHeight="1">
      <c r="A17" s="54">
        <f t="shared" si="0"/>
        <v>17</v>
      </c>
      <c r="B17" s="70" t="s">
        <v>380</v>
      </c>
      <c r="C17" s="70" t="s">
        <v>381</v>
      </c>
      <c r="D17" s="416" t="s">
        <v>382</v>
      </c>
      <c r="E17" s="416" t="s">
        <v>89</v>
      </c>
      <c r="F17" s="71" t="s">
        <v>386</v>
      </c>
      <c r="G17" s="70" t="s">
        <v>236</v>
      </c>
      <c r="H17" s="70" t="s">
        <v>236</v>
      </c>
      <c r="I17" s="40" t="s">
        <v>250</v>
      </c>
      <c r="J17" s="460">
        <v>133.51</v>
      </c>
      <c r="K17" s="371">
        <f t="shared" si="1"/>
        <v>200</v>
      </c>
      <c r="L17" s="72">
        <v>200</v>
      </c>
      <c r="M17" s="72"/>
      <c r="N17" s="73" t="e">
        <f t="shared" si="2"/>
        <v>#DIV/0!</v>
      </c>
      <c r="O17" s="73">
        <f t="shared" si="3"/>
        <v>0</v>
      </c>
      <c r="P17" s="74">
        <f>IF(L17="nio",0,IF(L17&gt;0,VLOOKUP(H17,'3-Productie normen'!A:J,VLOOKUP(L17,'3-Productie normen'!$B$33:$C$38,2,FALSE),FALSE)))/VLOOKUP(B17,'2-Kosten per locatie'!$A$12:$C$23,3,FALSE)</f>
        <v>0</v>
      </c>
      <c r="Q17" s="74">
        <f t="shared" si="4"/>
        <v>0</v>
      </c>
      <c r="R17" s="75" t="str">
        <f>VLOOKUP(H17,'3-Productie normen'!A:L,12,FALSE)</f>
        <v>V</v>
      </c>
      <c r="S17" s="75"/>
      <c r="U17" s="41">
        <f t="shared" si="5"/>
        <v>26702</v>
      </c>
    </row>
    <row r="18" spans="1:21" ht="14.1" customHeight="1">
      <c r="A18" s="54">
        <f t="shared" si="0"/>
        <v>18</v>
      </c>
      <c r="B18" s="70" t="s">
        <v>380</v>
      </c>
      <c r="C18" s="70" t="s">
        <v>381</v>
      </c>
      <c r="D18" s="416" t="s">
        <v>382</v>
      </c>
      <c r="E18" s="416" t="s">
        <v>89</v>
      </c>
      <c r="F18" s="71" t="s">
        <v>387</v>
      </c>
      <c r="G18" s="40" t="s">
        <v>1</v>
      </c>
      <c r="H18" s="40" t="s">
        <v>1</v>
      </c>
      <c r="I18" s="40" t="s">
        <v>245</v>
      </c>
      <c r="J18" s="460">
        <v>36.35</v>
      </c>
      <c r="K18" s="371">
        <f t="shared" si="1"/>
        <v>200</v>
      </c>
      <c r="L18" s="72">
        <v>200</v>
      </c>
      <c r="M18" s="72"/>
      <c r="N18" s="73" t="e">
        <f t="shared" si="2"/>
        <v>#DIV/0!</v>
      </c>
      <c r="O18" s="73">
        <f t="shared" si="3"/>
        <v>0</v>
      </c>
      <c r="P18" s="74">
        <f>IF(L18="nio",0,IF(L18&gt;0,VLOOKUP(H18,'3-Productie normen'!A:J,VLOOKUP(L18,'3-Productie normen'!$B$33:$C$38,2,FALSE),FALSE)))/VLOOKUP(B18,'2-Kosten per locatie'!$A$12:$C$23,3,FALSE)</f>
        <v>0</v>
      </c>
      <c r="Q18" s="74">
        <f t="shared" si="4"/>
        <v>0</v>
      </c>
      <c r="R18" s="75" t="str">
        <f>VLOOKUP(H18,'3-Productie normen'!A:L,12,FALSE)</f>
        <v>V</v>
      </c>
      <c r="S18" s="75"/>
      <c r="U18" s="41">
        <f t="shared" si="5"/>
        <v>7270</v>
      </c>
    </row>
    <row r="19" spans="1:21" ht="14.1" customHeight="1">
      <c r="A19" s="54">
        <f t="shared" si="0"/>
        <v>19</v>
      </c>
      <c r="B19" s="70" t="s">
        <v>380</v>
      </c>
      <c r="C19" s="70" t="s">
        <v>381</v>
      </c>
      <c r="D19" s="416" t="s">
        <v>382</v>
      </c>
      <c r="E19" s="416" t="s">
        <v>89</v>
      </c>
      <c r="F19" s="79" t="s">
        <v>388</v>
      </c>
      <c r="G19" s="80" t="s">
        <v>17</v>
      </c>
      <c r="H19" s="328" t="s">
        <v>17</v>
      </c>
      <c r="I19" s="40" t="s">
        <v>245</v>
      </c>
      <c r="J19" s="460">
        <v>1.08</v>
      </c>
      <c r="K19" s="371">
        <f t="shared" si="1"/>
        <v>200</v>
      </c>
      <c r="L19" s="72">
        <v>200</v>
      </c>
      <c r="M19" s="72"/>
      <c r="N19" s="73" t="e">
        <f t="shared" si="2"/>
        <v>#DIV/0!</v>
      </c>
      <c r="O19" s="73">
        <f t="shared" si="3"/>
        <v>0</v>
      </c>
      <c r="P19" s="74">
        <f>IF(L19="nio",0,IF(L19&gt;0,VLOOKUP(H19,'3-Productie normen'!A:J,VLOOKUP(L19,'3-Productie normen'!$B$33:$C$38,2,FALSE),FALSE)))/VLOOKUP(B19,'2-Kosten per locatie'!$A$12:$C$23,3,FALSE)</f>
        <v>0</v>
      </c>
      <c r="Q19" s="74">
        <f t="shared" si="4"/>
        <v>0</v>
      </c>
      <c r="R19" s="75" t="str">
        <f>VLOOKUP(H19,'3-Productie normen'!A:L,12,FALSE)</f>
        <v>S</v>
      </c>
      <c r="S19" s="75"/>
      <c r="U19" s="41">
        <f t="shared" si="5"/>
        <v>216</v>
      </c>
    </row>
    <row r="20" spans="1:21" ht="14.1" customHeight="1">
      <c r="A20" s="54">
        <f t="shared" si="0"/>
        <v>20</v>
      </c>
      <c r="B20" s="70" t="s">
        <v>380</v>
      </c>
      <c r="C20" s="70" t="s">
        <v>381</v>
      </c>
      <c r="D20" s="416" t="s">
        <v>382</v>
      </c>
      <c r="E20" s="416" t="s">
        <v>89</v>
      </c>
      <c r="F20" s="71" t="s">
        <v>254</v>
      </c>
      <c r="G20" s="70" t="s">
        <v>226</v>
      </c>
      <c r="H20" s="70" t="s">
        <v>226</v>
      </c>
      <c r="I20" s="40" t="s">
        <v>253</v>
      </c>
      <c r="J20" s="460">
        <v>13.92</v>
      </c>
      <c r="K20" s="371">
        <f t="shared" si="1"/>
        <v>200</v>
      </c>
      <c r="L20" s="72">
        <v>200</v>
      </c>
      <c r="M20" s="72"/>
      <c r="N20" s="73" t="e">
        <f t="shared" si="2"/>
        <v>#DIV/0!</v>
      </c>
      <c r="O20" s="73">
        <f t="shared" si="3"/>
        <v>0</v>
      </c>
      <c r="P20" s="74">
        <f>IF(L20="nio",0,IF(L20&gt;0,VLOOKUP(H20,'3-Productie normen'!A:J,VLOOKUP(L20,'3-Productie normen'!$B$33:$C$38,2,FALSE),FALSE)))/VLOOKUP(B20,'2-Kosten per locatie'!$A$12:$C$23,3,FALSE)</f>
        <v>0</v>
      </c>
      <c r="Q20" s="74">
        <f t="shared" si="4"/>
        <v>0</v>
      </c>
      <c r="R20" s="75" t="str">
        <f>VLOOKUP(H20,'3-Productie normen'!A:L,12,FALSE)</f>
        <v>V</v>
      </c>
      <c r="S20" s="75"/>
      <c r="U20" s="41">
        <f t="shared" si="5"/>
        <v>2784</v>
      </c>
    </row>
    <row r="21" spans="1:21" ht="14.1" customHeight="1">
      <c r="A21" s="54">
        <f t="shared" si="0"/>
        <v>21</v>
      </c>
      <c r="B21" s="70" t="s">
        <v>380</v>
      </c>
      <c r="C21" s="70" t="s">
        <v>381</v>
      </c>
      <c r="D21" s="416" t="s">
        <v>382</v>
      </c>
      <c r="E21" s="416">
        <v>1</v>
      </c>
      <c r="F21" s="71">
        <v>12</v>
      </c>
      <c r="G21" s="70" t="s">
        <v>248</v>
      </c>
      <c r="H21" s="70" t="s">
        <v>232</v>
      </c>
      <c r="I21" s="40" t="s">
        <v>253</v>
      </c>
      <c r="J21" s="460">
        <v>17.16</v>
      </c>
      <c r="K21" s="371">
        <f t="shared" si="1"/>
        <v>200</v>
      </c>
      <c r="L21" s="72">
        <v>200</v>
      </c>
      <c r="M21" s="72"/>
      <c r="N21" s="73" t="e">
        <f t="shared" si="2"/>
        <v>#DIV/0!</v>
      </c>
      <c r="O21" s="73">
        <f t="shared" si="3"/>
        <v>0</v>
      </c>
      <c r="P21" s="74">
        <f>IF(L21="nio",0,IF(L21&gt;0,VLOOKUP(H21,'3-Productie normen'!A:J,VLOOKUP(L21,'3-Productie normen'!$B$33:$C$38,2,FALSE),FALSE)))/VLOOKUP(B21,'2-Kosten per locatie'!$A$12:$C$23,3,FALSE)</f>
        <v>0</v>
      </c>
      <c r="Q21" s="74">
        <f t="shared" si="4"/>
        <v>0</v>
      </c>
      <c r="R21" s="75" t="str">
        <f>VLOOKUP(H21,'3-Productie normen'!A:L,12,FALSE)</f>
        <v>V</v>
      </c>
      <c r="S21" s="75"/>
      <c r="U21" s="41">
        <f t="shared" si="5"/>
        <v>3432</v>
      </c>
    </row>
    <row r="22" spans="1:21" ht="14.1" customHeight="1">
      <c r="A22" s="54">
        <f t="shared" si="0"/>
        <v>22</v>
      </c>
      <c r="B22" s="70" t="s">
        <v>380</v>
      </c>
      <c r="C22" s="70" t="s">
        <v>381</v>
      </c>
      <c r="D22" s="416" t="s">
        <v>382</v>
      </c>
      <c r="E22" s="416">
        <v>1</v>
      </c>
      <c r="F22" s="71">
        <v>13</v>
      </c>
      <c r="G22" s="70" t="s">
        <v>248</v>
      </c>
      <c r="H22" s="70" t="s">
        <v>232</v>
      </c>
      <c r="I22" s="40" t="s">
        <v>225</v>
      </c>
      <c r="J22" s="460">
        <v>8.5299999999999994</v>
      </c>
      <c r="K22" s="371">
        <f t="shared" si="1"/>
        <v>200</v>
      </c>
      <c r="L22" s="72">
        <v>200</v>
      </c>
      <c r="M22" s="72"/>
      <c r="N22" s="73" t="e">
        <f t="shared" si="2"/>
        <v>#DIV/0!</v>
      </c>
      <c r="O22" s="73">
        <f t="shared" si="3"/>
        <v>0</v>
      </c>
      <c r="P22" s="74">
        <f>IF(L22="nio",0,IF(L22&gt;0,VLOOKUP(H22,'3-Productie normen'!A:J,VLOOKUP(L22,'3-Productie normen'!$B$33:$C$38,2,FALSE),FALSE)))/VLOOKUP(B22,'2-Kosten per locatie'!$A$12:$C$23,3,FALSE)</f>
        <v>0</v>
      </c>
      <c r="Q22" s="74">
        <f t="shared" si="4"/>
        <v>0</v>
      </c>
      <c r="R22" s="75" t="str">
        <f>VLOOKUP(H22,'3-Productie normen'!A:L,12,FALSE)</f>
        <v>V</v>
      </c>
      <c r="S22" s="75"/>
      <c r="U22" s="41">
        <f t="shared" si="5"/>
        <v>1705.9999999999998</v>
      </c>
    </row>
    <row r="23" spans="1:21" ht="14.1" customHeight="1">
      <c r="A23" s="54">
        <f t="shared" si="0"/>
        <v>23</v>
      </c>
      <c r="B23" s="70" t="s">
        <v>380</v>
      </c>
      <c r="C23" s="70" t="s">
        <v>381</v>
      </c>
      <c r="D23" s="416" t="s">
        <v>382</v>
      </c>
      <c r="E23" s="416">
        <v>1</v>
      </c>
      <c r="F23" s="71">
        <v>14</v>
      </c>
      <c r="G23" s="40" t="s">
        <v>252</v>
      </c>
      <c r="H23" s="40" t="s">
        <v>101</v>
      </c>
      <c r="I23" s="40" t="s">
        <v>225</v>
      </c>
      <c r="J23" s="460">
        <v>6.97</v>
      </c>
      <c r="K23" s="371">
        <f t="shared" si="1"/>
        <v>0</v>
      </c>
      <c r="L23" s="72" t="s">
        <v>101</v>
      </c>
      <c r="M23" s="72"/>
      <c r="N23" s="73">
        <f t="shared" si="2"/>
        <v>0</v>
      </c>
      <c r="O23" s="73">
        <f t="shared" si="3"/>
        <v>0</v>
      </c>
      <c r="P23" s="74">
        <f>IF(L23="nio",0,IF(L23&gt;0,VLOOKUP(H23,'3-Productie normen'!A:J,VLOOKUP(L23,'3-Productie normen'!$B$33:$C$38,2,FALSE),FALSE)))/VLOOKUP(B23,'2-Kosten per locatie'!$A$12:$C$23,3,FALSE)</f>
        <v>0</v>
      </c>
      <c r="Q23" s="74">
        <f t="shared" si="4"/>
        <v>0</v>
      </c>
      <c r="R23" s="75">
        <f>VLOOKUP(H23,'3-Productie normen'!A:L,12,FALSE)</f>
        <v>0</v>
      </c>
      <c r="S23" s="75"/>
      <c r="U23" s="41">
        <f t="shared" si="5"/>
        <v>0</v>
      </c>
    </row>
    <row r="24" spans="1:21" ht="14.1" customHeight="1">
      <c r="A24" s="54">
        <f t="shared" si="0"/>
        <v>24</v>
      </c>
      <c r="B24" s="70" t="s">
        <v>380</v>
      </c>
      <c r="C24" s="70" t="s">
        <v>381</v>
      </c>
      <c r="D24" s="416" t="s">
        <v>382</v>
      </c>
      <c r="E24" s="416">
        <v>1</v>
      </c>
      <c r="F24" s="79">
        <v>15</v>
      </c>
      <c r="G24" s="80" t="s">
        <v>17</v>
      </c>
      <c r="H24" s="328" t="s">
        <v>17</v>
      </c>
      <c r="I24" s="40" t="s">
        <v>250</v>
      </c>
      <c r="J24" s="460">
        <v>6.74</v>
      </c>
      <c r="K24" s="371">
        <f t="shared" si="1"/>
        <v>200</v>
      </c>
      <c r="L24" s="72">
        <v>200</v>
      </c>
      <c r="M24" s="72"/>
      <c r="N24" s="73" t="e">
        <f t="shared" si="2"/>
        <v>#DIV/0!</v>
      </c>
      <c r="O24" s="73">
        <f t="shared" si="3"/>
        <v>0</v>
      </c>
      <c r="P24" s="74">
        <f>IF(L24="nio",0,IF(L24&gt;0,VLOOKUP(H24,'3-Productie normen'!A:J,VLOOKUP(L24,'3-Productie normen'!$B$33:$C$38,2,FALSE),FALSE)))/VLOOKUP(B24,'2-Kosten per locatie'!$A$12:$C$23,3,FALSE)</f>
        <v>0</v>
      </c>
      <c r="Q24" s="74">
        <f t="shared" si="4"/>
        <v>0</v>
      </c>
      <c r="R24" s="75" t="str">
        <f>VLOOKUP(H24,'3-Productie normen'!A:L,12,FALSE)</f>
        <v>S</v>
      </c>
      <c r="S24" s="75"/>
      <c r="U24" s="41">
        <f t="shared" si="5"/>
        <v>1348</v>
      </c>
    </row>
    <row r="25" spans="1:21" ht="14.1" customHeight="1">
      <c r="A25" s="54">
        <f t="shared" si="0"/>
        <v>25</v>
      </c>
      <c r="B25" s="70" t="s">
        <v>380</v>
      </c>
      <c r="C25" s="70" t="s">
        <v>381</v>
      </c>
      <c r="D25" s="416" t="s">
        <v>382</v>
      </c>
      <c r="E25" s="416">
        <v>1</v>
      </c>
      <c r="F25" s="71">
        <v>16</v>
      </c>
      <c r="G25" s="70" t="s">
        <v>248</v>
      </c>
      <c r="H25" s="70" t="s">
        <v>232</v>
      </c>
      <c r="I25" s="40" t="s">
        <v>225</v>
      </c>
      <c r="J25" s="460">
        <v>17.53</v>
      </c>
      <c r="K25" s="371">
        <f t="shared" si="1"/>
        <v>200</v>
      </c>
      <c r="L25" s="72">
        <v>200</v>
      </c>
      <c r="M25" s="72"/>
      <c r="N25" s="73" t="e">
        <f t="shared" si="2"/>
        <v>#DIV/0!</v>
      </c>
      <c r="O25" s="73">
        <f t="shared" si="3"/>
        <v>0</v>
      </c>
      <c r="P25" s="74">
        <f>IF(L25="nio",0,IF(L25&gt;0,VLOOKUP(H25,'3-Productie normen'!A:J,VLOOKUP(L25,'3-Productie normen'!$B$33:$C$38,2,FALSE),FALSE)))/VLOOKUP(B25,'2-Kosten per locatie'!$A$12:$C$23,3,FALSE)</f>
        <v>0</v>
      </c>
      <c r="Q25" s="74">
        <f t="shared" si="4"/>
        <v>0</v>
      </c>
      <c r="R25" s="75" t="str">
        <f>VLOOKUP(H25,'3-Productie normen'!A:L,12,FALSE)</f>
        <v>V</v>
      </c>
      <c r="S25" s="75"/>
      <c r="U25" s="41">
        <f t="shared" si="5"/>
        <v>3506</v>
      </c>
    </row>
    <row r="26" spans="1:21" ht="14.1" customHeight="1">
      <c r="A26" s="54">
        <f t="shared" si="0"/>
        <v>26</v>
      </c>
      <c r="B26" s="70" t="s">
        <v>380</v>
      </c>
      <c r="C26" s="70" t="s">
        <v>381</v>
      </c>
      <c r="D26" s="416" t="s">
        <v>382</v>
      </c>
      <c r="E26" s="416">
        <v>1</v>
      </c>
      <c r="F26" s="71">
        <v>17</v>
      </c>
      <c r="G26" s="70" t="s">
        <v>233</v>
      </c>
      <c r="H26" s="70" t="s">
        <v>233</v>
      </c>
      <c r="I26" s="40" t="s">
        <v>225</v>
      </c>
      <c r="J26" s="460">
        <v>49.55</v>
      </c>
      <c r="K26" s="371">
        <f t="shared" si="1"/>
        <v>200</v>
      </c>
      <c r="L26" s="72">
        <v>200</v>
      </c>
      <c r="M26" s="72"/>
      <c r="N26" s="73" t="e">
        <f t="shared" si="2"/>
        <v>#DIV/0!</v>
      </c>
      <c r="O26" s="73">
        <f t="shared" si="3"/>
        <v>0</v>
      </c>
      <c r="P26" s="74">
        <f>IF(L26="nio",0,IF(L26&gt;0,VLOOKUP(H26,'3-Productie normen'!A:J,VLOOKUP(L26,'3-Productie normen'!$B$33:$C$38,2,FALSE),FALSE)))/VLOOKUP(B26,'2-Kosten per locatie'!$A$12:$C$23,3,FALSE)</f>
        <v>0</v>
      </c>
      <c r="Q26" s="74">
        <f t="shared" si="4"/>
        <v>0</v>
      </c>
      <c r="R26" s="75" t="str">
        <f>VLOOKUP(H26,'3-Productie normen'!A:L,12,FALSE)</f>
        <v>L</v>
      </c>
      <c r="S26" s="75"/>
      <c r="U26" s="41">
        <f t="shared" si="5"/>
        <v>9910</v>
      </c>
    </row>
    <row r="27" spans="1:21" ht="14.1" customHeight="1">
      <c r="A27" s="54">
        <f t="shared" si="0"/>
        <v>27</v>
      </c>
      <c r="B27" s="70" t="s">
        <v>380</v>
      </c>
      <c r="C27" s="70" t="s">
        <v>381</v>
      </c>
      <c r="D27" s="416" t="s">
        <v>382</v>
      </c>
      <c r="E27" s="416">
        <v>1</v>
      </c>
      <c r="F27" s="71">
        <v>18</v>
      </c>
      <c r="G27" s="70" t="s">
        <v>233</v>
      </c>
      <c r="H27" s="70" t="s">
        <v>233</v>
      </c>
      <c r="I27" s="40" t="s">
        <v>225</v>
      </c>
      <c r="J27" s="460">
        <v>52.05</v>
      </c>
      <c r="K27" s="371">
        <f t="shared" si="1"/>
        <v>200</v>
      </c>
      <c r="L27" s="72">
        <v>200</v>
      </c>
      <c r="M27" s="72"/>
      <c r="N27" s="73" t="e">
        <f t="shared" si="2"/>
        <v>#DIV/0!</v>
      </c>
      <c r="O27" s="73">
        <f t="shared" si="3"/>
        <v>0</v>
      </c>
      <c r="P27" s="74">
        <f>IF(L27="nio",0,IF(L27&gt;0,VLOOKUP(H27,'3-Productie normen'!A:J,VLOOKUP(L27,'3-Productie normen'!$B$33:$C$38,2,FALSE),FALSE)))/VLOOKUP(B27,'2-Kosten per locatie'!$A$12:$C$23,3,FALSE)</f>
        <v>0</v>
      </c>
      <c r="Q27" s="74">
        <f t="shared" si="4"/>
        <v>0</v>
      </c>
      <c r="R27" s="75" t="str">
        <f>VLOOKUP(H27,'3-Productie normen'!A:L,12,FALSE)</f>
        <v>L</v>
      </c>
      <c r="S27" s="75"/>
      <c r="U27" s="41">
        <f t="shared" si="5"/>
        <v>10410</v>
      </c>
    </row>
    <row r="28" spans="1:21" ht="14.1" customHeight="1">
      <c r="A28" s="54">
        <f t="shared" si="0"/>
        <v>28</v>
      </c>
      <c r="B28" s="70" t="s">
        <v>380</v>
      </c>
      <c r="C28" s="70" t="s">
        <v>381</v>
      </c>
      <c r="D28" s="416" t="s">
        <v>382</v>
      </c>
      <c r="E28" s="416">
        <v>1</v>
      </c>
      <c r="F28" s="71">
        <v>19</v>
      </c>
      <c r="G28" s="40" t="s">
        <v>248</v>
      </c>
      <c r="H28" s="40" t="s">
        <v>232</v>
      </c>
      <c r="I28" s="40" t="s">
        <v>225</v>
      </c>
      <c r="J28" s="460">
        <v>9.24</v>
      </c>
      <c r="K28" s="371">
        <f t="shared" si="1"/>
        <v>200</v>
      </c>
      <c r="L28" s="72">
        <v>200</v>
      </c>
      <c r="M28" s="72"/>
      <c r="N28" s="73" t="e">
        <f t="shared" si="2"/>
        <v>#DIV/0!</v>
      </c>
      <c r="O28" s="73">
        <f t="shared" si="3"/>
        <v>0</v>
      </c>
      <c r="P28" s="74">
        <f>IF(L28="nio",0,IF(L28&gt;0,VLOOKUP(H28,'3-Productie normen'!A:J,VLOOKUP(L28,'3-Productie normen'!$B$33:$C$38,2,FALSE),FALSE)))/VLOOKUP(B28,'2-Kosten per locatie'!$A$12:$C$23,3,FALSE)</f>
        <v>0</v>
      </c>
      <c r="Q28" s="74">
        <f t="shared" si="4"/>
        <v>0</v>
      </c>
      <c r="R28" s="75" t="str">
        <f>VLOOKUP(H28,'3-Productie normen'!A:L,12,FALSE)</f>
        <v>V</v>
      </c>
      <c r="S28" s="75"/>
      <c r="U28" s="41">
        <f t="shared" si="5"/>
        <v>1848</v>
      </c>
    </row>
    <row r="29" spans="1:21" ht="14.1" customHeight="1">
      <c r="A29" s="54">
        <f t="shared" si="0"/>
        <v>29</v>
      </c>
      <c r="B29" s="70" t="s">
        <v>380</v>
      </c>
      <c r="C29" s="70" t="s">
        <v>381</v>
      </c>
      <c r="D29" s="416" t="s">
        <v>382</v>
      </c>
      <c r="E29" s="416">
        <v>1</v>
      </c>
      <c r="F29" s="79">
        <v>20</v>
      </c>
      <c r="G29" s="80" t="s">
        <v>226</v>
      </c>
      <c r="H29" s="80" t="s">
        <v>226</v>
      </c>
      <c r="I29" s="40" t="s">
        <v>229</v>
      </c>
      <c r="J29" s="460">
        <v>3.2</v>
      </c>
      <c r="K29" s="371">
        <f t="shared" si="1"/>
        <v>200</v>
      </c>
      <c r="L29" s="72">
        <v>200</v>
      </c>
      <c r="M29" s="72"/>
      <c r="N29" s="73" t="e">
        <f t="shared" si="2"/>
        <v>#DIV/0!</v>
      </c>
      <c r="O29" s="73">
        <f t="shared" si="3"/>
        <v>0</v>
      </c>
      <c r="P29" s="74">
        <f>IF(L29="nio",0,IF(L29&gt;0,VLOOKUP(H29,'3-Productie normen'!A:J,VLOOKUP(L29,'3-Productie normen'!$B$33:$C$38,2,FALSE),FALSE)))/VLOOKUP(B29,'2-Kosten per locatie'!$A$12:$C$23,3,FALSE)</f>
        <v>0</v>
      </c>
      <c r="Q29" s="74">
        <f t="shared" si="4"/>
        <v>0</v>
      </c>
      <c r="R29" s="75" t="str">
        <f>VLOOKUP(H29,'3-Productie normen'!A:L,12,FALSE)</f>
        <v>V</v>
      </c>
      <c r="S29" s="75"/>
      <c r="U29" s="41">
        <f t="shared" si="5"/>
        <v>640</v>
      </c>
    </row>
    <row r="30" spans="1:21" ht="14.1" customHeight="1">
      <c r="A30" s="54">
        <f t="shared" si="0"/>
        <v>30</v>
      </c>
      <c r="B30" s="70" t="s">
        <v>380</v>
      </c>
      <c r="C30" s="70" t="s">
        <v>381</v>
      </c>
      <c r="D30" s="416" t="s">
        <v>382</v>
      </c>
      <c r="E30" s="416">
        <v>1</v>
      </c>
      <c r="F30" s="71">
        <v>21</v>
      </c>
      <c r="G30" s="40" t="s">
        <v>226</v>
      </c>
      <c r="H30" s="40" t="s">
        <v>226</v>
      </c>
      <c r="I30" s="78" t="s">
        <v>253</v>
      </c>
      <c r="J30" s="460">
        <v>32.229999999999997</v>
      </c>
      <c r="K30" s="371">
        <f t="shared" si="1"/>
        <v>200</v>
      </c>
      <c r="L30" s="72">
        <v>200</v>
      </c>
      <c r="M30" s="72"/>
      <c r="N30" s="73" t="e">
        <f t="shared" si="2"/>
        <v>#DIV/0!</v>
      </c>
      <c r="O30" s="73">
        <f t="shared" si="3"/>
        <v>0</v>
      </c>
      <c r="P30" s="74">
        <f>IF(L30="nio",0,IF(L30&gt;0,VLOOKUP(H30,'3-Productie normen'!A:J,VLOOKUP(L30,'3-Productie normen'!$B$33:$C$38,2,FALSE),FALSE)))/VLOOKUP(B30,'2-Kosten per locatie'!$A$12:$C$23,3,FALSE)</f>
        <v>0</v>
      </c>
      <c r="Q30" s="74">
        <f t="shared" si="4"/>
        <v>0</v>
      </c>
      <c r="R30" s="75" t="str">
        <f>VLOOKUP(H30,'3-Productie normen'!A:L,12,FALSE)</f>
        <v>V</v>
      </c>
      <c r="S30" s="75"/>
      <c r="U30" s="41">
        <f t="shared" si="5"/>
        <v>6445.9999999999991</v>
      </c>
    </row>
    <row r="31" spans="1:21" ht="14.1" customHeight="1">
      <c r="A31" s="54">
        <f t="shared" si="0"/>
        <v>31</v>
      </c>
      <c r="B31" s="70" t="s">
        <v>380</v>
      </c>
      <c r="C31" s="70" t="s">
        <v>381</v>
      </c>
      <c r="D31" s="417" t="s">
        <v>382</v>
      </c>
      <c r="E31" s="417">
        <v>2</v>
      </c>
      <c r="F31" s="79">
        <v>22</v>
      </c>
      <c r="G31" s="80" t="s">
        <v>248</v>
      </c>
      <c r="H31" s="80" t="s">
        <v>232</v>
      </c>
      <c r="I31" s="40" t="s">
        <v>225</v>
      </c>
      <c r="J31" s="460">
        <v>55.79</v>
      </c>
      <c r="K31" s="371">
        <f t="shared" si="1"/>
        <v>200</v>
      </c>
      <c r="L31" s="72">
        <v>200</v>
      </c>
      <c r="M31" s="72"/>
      <c r="N31" s="73" t="e">
        <f t="shared" si="2"/>
        <v>#DIV/0!</v>
      </c>
      <c r="O31" s="73">
        <f t="shared" si="3"/>
        <v>0</v>
      </c>
      <c r="P31" s="74">
        <f>IF(L31="nio",0,IF(L31&gt;0,VLOOKUP(H31,'3-Productie normen'!A:J,VLOOKUP(L31,'3-Productie normen'!$B$33:$C$38,2,FALSE),FALSE)))/VLOOKUP(B31,'2-Kosten per locatie'!$A$12:$C$23,3,FALSE)</f>
        <v>0</v>
      </c>
      <c r="Q31" s="74">
        <f t="shared" si="4"/>
        <v>0</v>
      </c>
      <c r="R31" s="75" t="str">
        <f>VLOOKUP(H31,'3-Productie normen'!A:L,12,FALSE)</f>
        <v>V</v>
      </c>
      <c r="S31" s="75"/>
      <c r="U31" s="41">
        <f t="shared" si="5"/>
        <v>11158</v>
      </c>
    </row>
    <row r="32" spans="1:21" ht="14.1" customHeight="1">
      <c r="A32" s="54">
        <f t="shared" si="0"/>
        <v>32</v>
      </c>
      <c r="B32" s="70" t="s">
        <v>380</v>
      </c>
      <c r="C32" s="70" t="s">
        <v>381</v>
      </c>
      <c r="D32" s="416" t="s">
        <v>382</v>
      </c>
      <c r="E32" s="416">
        <v>2</v>
      </c>
      <c r="F32" s="71">
        <v>23</v>
      </c>
      <c r="G32" s="40" t="s">
        <v>176</v>
      </c>
      <c r="H32" s="40" t="s">
        <v>176</v>
      </c>
      <c r="I32" s="40" t="s">
        <v>225</v>
      </c>
      <c r="J32" s="460">
        <v>18.03</v>
      </c>
      <c r="K32" s="371">
        <f t="shared" si="1"/>
        <v>200</v>
      </c>
      <c r="L32" s="72">
        <v>200</v>
      </c>
      <c r="M32" s="72"/>
      <c r="N32" s="73" t="e">
        <f t="shared" si="2"/>
        <v>#DIV/0!</v>
      </c>
      <c r="O32" s="73">
        <f t="shared" si="3"/>
        <v>0</v>
      </c>
      <c r="P32" s="74">
        <f>IF(L32="nio",0,IF(L32&gt;0,VLOOKUP(H32,'3-Productie normen'!A:J,VLOOKUP(L32,'3-Productie normen'!$B$33:$C$38,2,FALSE),FALSE)))/VLOOKUP(B32,'2-Kosten per locatie'!$A$12:$C$23,3,FALSE)</f>
        <v>0</v>
      </c>
      <c r="Q32" s="74">
        <f t="shared" si="4"/>
        <v>0</v>
      </c>
      <c r="R32" s="75" t="str">
        <f>VLOOKUP(H32,'3-Productie normen'!A:L,12,FALSE)</f>
        <v>B</v>
      </c>
      <c r="S32" s="75"/>
      <c r="U32" s="41">
        <f t="shared" si="5"/>
        <v>3606</v>
      </c>
    </row>
    <row r="33" spans="1:21" ht="14.1" customHeight="1">
      <c r="A33" s="54">
        <f t="shared" si="0"/>
        <v>33</v>
      </c>
      <c r="B33" s="70" t="s">
        <v>380</v>
      </c>
      <c r="C33" s="70" t="s">
        <v>381</v>
      </c>
      <c r="D33" s="416" t="s">
        <v>382</v>
      </c>
      <c r="E33" s="416">
        <v>2</v>
      </c>
      <c r="F33" s="71">
        <v>24</v>
      </c>
      <c r="G33" s="40" t="s">
        <v>249</v>
      </c>
      <c r="H33" s="40" t="s">
        <v>231</v>
      </c>
      <c r="I33" s="40" t="s">
        <v>225</v>
      </c>
      <c r="J33" s="460">
        <v>42.35</v>
      </c>
      <c r="K33" s="371">
        <f t="shared" si="1"/>
        <v>200</v>
      </c>
      <c r="L33" s="72">
        <v>200</v>
      </c>
      <c r="M33" s="72"/>
      <c r="N33" s="73" t="e">
        <f t="shared" si="2"/>
        <v>#DIV/0!</v>
      </c>
      <c r="O33" s="73">
        <f t="shared" si="3"/>
        <v>0</v>
      </c>
      <c r="P33" s="74">
        <f>IF(L33="nio",0,IF(L33&gt;0,VLOOKUP(H33,'3-Productie normen'!A:J,VLOOKUP(L33,'3-Productie normen'!$B$33:$C$38,2,FALSE),FALSE)))/VLOOKUP(B33,'2-Kosten per locatie'!$A$12:$C$23,3,FALSE)</f>
        <v>0</v>
      </c>
      <c r="Q33" s="74">
        <f t="shared" si="4"/>
        <v>0</v>
      </c>
      <c r="R33" s="75" t="str">
        <f>VLOOKUP(H33,'3-Productie normen'!A:L,12,FALSE)</f>
        <v>L</v>
      </c>
      <c r="S33" s="75"/>
      <c r="U33" s="41">
        <f t="shared" si="5"/>
        <v>8470</v>
      </c>
    </row>
    <row r="34" spans="1:21" ht="14.1" customHeight="1">
      <c r="A34" s="54">
        <f t="shared" si="0"/>
        <v>34</v>
      </c>
      <c r="B34" s="70" t="s">
        <v>380</v>
      </c>
      <c r="C34" s="70" t="s">
        <v>381</v>
      </c>
      <c r="D34" s="416" t="s">
        <v>382</v>
      </c>
      <c r="E34" s="416">
        <v>2</v>
      </c>
      <c r="F34" s="71">
        <v>25</v>
      </c>
      <c r="G34" s="40" t="s">
        <v>233</v>
      </c>
      <c r="H34" s="40" t="s">
        <v>233</v>
      </c>
      <c r="I34" s="40" t="s">
        <v>225</v>
      </c>
      <c r="J34" s="460">
        <v>51.6</v>
      </c>
      <c r="K34" s="371">
        <f t="shared" si="1"/>
        <v>200</v>
      </c>
      <c r="L34" s="72">
        <v>200</v>
      </c>
      <c r="M34" s="72"/>
      <c r="N34" s="73" t="e">
        <f t="shared" si="2"/>
        <v>#DIV/0!</v>
      </c>
      <c r="O34" s="73">
        <f t="shared" si="3"/>
        <v>0</v>
      </c>
      <c r="P34" s="74">
        <f>IF(L34="nio",0,IF(L34&gt;0,VLOOKUP(H34,'3-Productie normen'!A:J,VLOOKUP(L34,'3-Productie normen'!$B$33:$C$38,2,FALSE),FALSE)))/VLOOKUP(B34,'2-Kosten per locatie'!$A$12:$C$23,3,FALSE)</f>
        <v>0</v>
      </c>
      <c r="Q34" s="74">
        <f t="shared" si="4"/>
        <v>0</v>
      </c>
      <c r="R34" s="75" t="str">
        <f>VLOOKUP(H34,'3-Productie normen'!A:L,12,FALSE)</f>
        <v>L</v>
      </c>
      <c r="S34" s="75"/>
      <c r="U34" s="41">
        <f t="shared" si="5"/>
        <v>10320</v>
      </c>
    </row>
    <row r="35" spans="1:21" ht="14.1" customHeight="1">
      <c r="A35" s="54">
        <f t="shared" si="0"/>
        <v>35</v>
      </c>
      <c r="B35" s="70" t="s">
        <v>380</v>
      </c>
      <c r="C35" s="70" t="s">
        <v>381</v>
      </c>
      <c r="D35" s="416" t="s">
        <v>382</v>
      </c>
      <c r="E35" s="416">
        <v>2</v>
      </c>
      <c r="F35" s="71">
        <v>26</v>
      </c>
      <c r="G35" s="40" t="s">
        <v>233</v>
      </c>
      <c r="H35" s="40" t="s">
        <v>233</v>
      </c>
      <c r="I35" s="40" t="s">
        <v>225</v>
      </c>
      <c r="J35" s="460">
        <v>51.91</v>
      </c>
      <c r="K35" s="371">
        <f t="shared" si="1"/>
        <v>200</v>
      </c>
      <c r="L35" s="72">
        <v>200</v>
      </c>
      <c r="M35" s="72"/>
      <c r="N35" s="73" t="e">
        <f t="shared" si="2"/>
        <v>#DIV/0!</v>
      </c>
      <c r="O35" s="73">
        <f t="shared" si="3"/>
        <v>0</v>
      </c>
      <c r="P35" s="74">
        <f>IF(L35="nio",0,IF(L35&gt;0,VLOOKUP(H35,'3-Productie normen'!A:J,VLOOKUP(L35,'3-Productie normen'!$B$33:$C$38,2,FALSE),FALSE)))/VLOOKUP(B35,'2-Kosten per locatie'!$A$12:$C$23,3,FALSE)</f>
        <v>0</v>
      </c>
      <c r="Q35" s="74">
        <f t="shared" si="4"/>
        <v>0</v>
      </c>
      <c r="R35" s="75" t="str">
        <f>VLOOKUP(H35,'3-Productie normen'!A:L,12,FALSE)</f>
        <v>L</v>
      </c>
      <c r="S35" s="75"/>
      <c r="U35" s="41">
        <f t="shared" si="5"/>
        <v>10382</v>
      </c>
    </row>
    <row r="36" spans="1:21" ht="14.1" customHeight="1">
      <c r="A36" s="54">
        <f t="shared" si="0"/>
        <v>36</v>
      </c>
      <c r="B36" s="70" t="s">
        <v>380</v>
      </c>
      <c r="C36" s="70" t="s">
        <v>381</v>
      </c>
      <c r="D36" s="416" t="s">
        <v>382</v>
      </c>
      <c r="E36" s="416">
        <v>2</v>
      </c>
      <c r="F36" s="71">
        <v>27</v>
      </c>
      <c r="G36" s="40" t="s">
        <v>17</v>
      </c>
      <c r="H36" s="40" t="s">
        <v>17</v>
      </c>
      <c r="I36" s="40" t="s">
        <v>245</v>
      </c>
      <c r="J36" s="460">
        <v>6.74</v>
      </c>
      <c r="K36" s="371">
        <f t="shared" si="1"/>
        <v>200</v>
      </c>
      <c r="L36" s="72">
        <v>200</v>
      </c>
      <c r="M36" s="72"/>
      <c r="N36" s="73" t="e">
        <f t="shared" si="2"/>
        <v>#DIV/0!</v>
      </c>
      <c r="O36" s="73">
        <f t="shared" si="3"/>
        <v>0</v>
      </c>
      <c r="P36" s="74">
        <f>IF(L36="nio",0,IF(L36&gt;0,VLOOKUP(H36,'3-Productie normen'!A:J,VLOOKUP(L36,'3-Productie normen'!$B$33:$C$38,2,FALSE),FALSE)))/VLOOKUP(B36,'2-Kosten per locatie'!$A$12:$C$23,3,FALSE)</f>
        <v>0</v>
      </c>
      <c r="Q36" s="74">
        <f t="shared" si="4"/>
        <v>0</v>
      </c>
      <c r="R36" s="75" t="str">
        <f>VLOOKUP(H36,'3-Productie normen'!A:L,12,FALSE)</f>
        <v>S</v>
      </c>
      <c r="S36" s="75"/>
      <c r="U36" s="41">
        <f t="shared" si="5"/>
        <v>1348</v>
      </c>
    </row>
    <row r="37" spans="1:21" ht="14.1" customHeight="1">
      <c r="A37" s="54">
        <f t="shared" si="0"/>
        <v>37</v>
      </c>
      <c r="B37" s="70" t="s">
        <v>380</v>
      </c>
      <c r="C37" s="70" t="s">
        <v>381</v>
      </c>
      <c r="D37" s="416" t="s">
        <v>382</v>
      </c>
      <c r="E37" s="416">
        <v>2</v>
      </c>
      <c r="F37" s="71">
        <v>28</v>
      </c>
      <c r="G37" s="40" t="s">
        <v>176</v>
      </c>
      <c r="H37" s="40" t="s">
        <v>176</v>
      </c>
      <c r="I37" s="40" t="s">
        <v>225</v>
      </c>
      <c r="J37" s="460">
        <v>6.97</v>
      </c>
      <c r="K37" s="371">
        <f t="shared" si="1"/>
        <v>200</v>
      </c>
      <c r="L37" s="72">
        <v>200</v>
      </c>
      <c r="M37" s="72"/>
      <c r="N37" s="73" t="e">
        <f t="shared" si="2"/>
        <v>#DIV/0!</v>
      </c>
      <c r="O37" s="73">
        <f t="shared" si="3"/>
        <v>0</v>
      </c>
      <c r="P37" s="74">
        <f>IF(L37="nio",0,IF(L37&gt;0,VLOOKUP(H37,'3-Productie normen'!A:J,VLOOKUP(L37,'3-Productie normen'!$B$33:$C$38,2,FALSE),FALSE)))/VLOOKUP(B37,'2-Kosten per locatie'!$A$12:$C$23,3,FALSE)</f>
        <v>0</v>
      </c>
      <c r="Q37" s="74">
        <f t="shared" si="4"/>
        <v>0</v>
      </c>
      <c r="R37" s="75" t="str">
        <f>VLOOKUP(H37,'3-Productie normen'!A:L,12,FALSE)</f>
        <v>B</v>
      </c>
      <c r="S37" s="75"/>
      <c r="U37" s="41">
        <f t="shared" si="5"/>
        <v>1394</v>
      </c>
    </row>
    <row r="38" spans="1:21" ht="14.1" customHeight="1">
      <c r="A38" s="54">
        <f t="shared" si="0"/>
        <v>38</v>
      </c>
      <c r="B38" s="70" t="s">
        <v>380</v>
      </c>
      <c r="C38" s="70" t="s">
        <v>381</v>
      </c>
      <c r="D38" s="416" t="s">
        <v>382</v>
      </c>
      <c r="E38" s="416">
        <v>2</v>
      </c>
      <c r="F38" s="71">
        <v>29</v>
      </c>
      <c r="G38" s="40" t="s">
        <v>252</v>
      </c>
      <c r="H38" s="40" t="s">
        <v>101</v>
      </c>
      <c r="I38" s="40" t="s">
        <v>225</v>
      </c>
      <c r="J38" s="460">
        <v>6.14</v>
      </c>
      <c r="K38" s="371">
        <f t="shared" si="1"/>
        <v>0</v>
      </c>
      <c r="L38" s="72" t="s">
        <v>101</v>
      </c>
      <c r="M38" s="72"/>
      <c r="N38" s="73">
        <f t="shared" si="2"/>
        <v>0</v>
      </c>
      <c r="O38" s="73">
        <f t="shared" si="3"/>
        <v>0</v>
      </c>
      <c r="P38" s="74">
        <f>IF(L38="nio",0,IF(L38&gt;0,VLOOKUP(H38,'3-Productie normen'!A:J,VLOOKUP(L38,'3-Productie normen'!$B$33:$C$38,2,FALSE),FALSE)))/VLOOKUP(B38,'2-Kosten per locatie'!$A$12:$C$23,3,FALSE)</f>
        <v>0</v>
      </c>
      <c r="Q38" s="74">
        <f t="shared" si="4"/>
        <v>0</v>
      </c>
      <c r="R38" s="75">
        <f>VLOOKUP(H38,'3-Productie normen'!A:L,12,FALSE)</f>
        <v>0</v>
      </c>
      <c r="S38" s="75"/>
      <c r="U38" s="41">
        <f t="shared" si="5"/>
        <v>0</v>
      </c>
    </row>
    <row r="39" spans="1:21" ht="14.1" customHeight="1">
      <c r="A39" s="54">
        <f t="shared" si="0"/>
        <v>39</v>
      </c>
      <c r="B39" s="70" t="s">
        <v>380</v>
      </c>
      <c r="C39" s="70" t="s">
        <v>381</v>
      </c>
      <c r="D39" s="416" t="s">
        <v>382</v>
      </c>
      <c r="E39" s="416">
        <v>3</v>
      </c>
      <c r="F39" s="71">
        <v>30</v>
      </c>
      <c r="G39" s="40" t="s">
        <v>252</v>
      </c>
      <c r="H39" s="40" t="s">
        <v>101</v>
      </c>
      <c r="I39" s="40" t="s">
        <v>225</v>
      </c>
      <c r="J39" s="460">
        <v>6.99</v>
      </c>
      <c r="K39" s="371">
        <f t="shared" si="1"/>
        <v>0</v>
      </c>
      <c r="L39" s="72" t="s">
        <v>101</v>
      </c>
      <c r="M39" s="72"/>
      <c r="N39" s="73">
        <f t="shared" si="2"/>
        <v>0</v>
      </c>
      <c r="O39" s="73">
        <f t="shared" si="3"/>
        <v>0</v>
      </c>
      <c r="P39" s="74">
        <f>IF(L39="nio",0,IF(L39&gt;0,VLOOKUP(H39,'3-Productie normen'!A:J,VLOOKUP(L39,'3-Productie normen'!$B$33:$C$38,2,FALSE),FALSE)))/VLOOKUP(B39,'2-Kosten per locatie'!$A$12:$C$23,3,FALSE)</f>
        <v>0</v>
      </c>
      <c r="Q39" s="74">
        <f t="shared" si="4"/>
        <v>0</v>
      </c>
      <c r="R39" s="75">
        <f>VLOOKUP(H39,'3-Productie normen'!A:L,12,FALSE)</f>
        <v>0</v>
      </c>
      <c r="S39" s="75"/>
      <c r="U39" s="41">
        <f t="shared" si="5"/>
        <v>0</v>
      </c>
    </row>
    <row r="40" spans="1:21" ht="14.1" customHeight="1">
      <c r="A40" s="54">
        <f t="shared" si="0"/>
        <v>40</v>
      </c>
      <c r="B40" s="70" t="s">
        <v>380</v>
      </c>
      <c r="C40" s="70" t="s">
        <v>381</v>
      </c>
      <c r="D40" s="416" t="s">
        <v>382</v>
      </c>
      <c r="E40" s="416">
        <v>3</v>
      </c>
      <c r="F40" s="71">
        <v>31</v>
      </c>
      <c r="G40" s="40" t="s">
        <v>17</v>
      </c>
      <c r="H40" s="40" t="s">
        <v>17</v>
      </c>
      <c r="I40" s="40" t="s">
        <v>245</v>
      </c>
      <c r="J40" s="460">
        <v>6.74</v>
      </c>
      <c r="K40" s="371">
        <f t="shared" si="1"/>
        <v>200</v>
      </c>
      <c r="L40" s="72">
        <v>200</v>
      </c>
      <c r="M40" s="72"/>
      <c r="N40" s="73" t="e">
        <f t="shared" si="2"/>
        <v>#DIV/0!</v>
      </c>
      <c r="O40" s="73">
        <f t="shared" si="3"/>
        <v>0</v>
      </c>
      <c r="P40" s="74">
        <f>IF(L40="nio",0,IF(L40&gt;0,VLOOKUP(H40,'3-Productie normen'!A:J,VLOOKUP(L40,'3-Productie normen'!$B$33:$C$38,2,FALSE),FALSE)))/VLOOKUP(B40,'2-Kosten per locatie'!$A$12:$C$23,3,FALSE)</f>
        <v>0</v>
      </c>
      <c r="Q40" s="74">
        <f t="shared" si="4"/>
        <v>0</v>
      </c>
      <c r="R40" s="75" t="str">
        <f>VLOOKUP(H40,'3-Productie normen'!A:L,12,FALSE)</f>
        <v>S</v>
      </c>
      <c r="S40" s="75"/>
      <c r="U40" s="41">
        <f t="shared" si="5"/>
        <v>1348</v>
      </c>
    </row>
    <row r="41" spans="1:21" ht="14.1" customHeight="1">
      <c r="A41" s="54">
        <f t="shared" si="0"/>
        <v>41</v>
      </c>
      <c r="B41" s="70" t="s">
        <v>380</v>
      </c>
      <c r="C41" s="70" t="s">
        <v>381</v>
      </c>
      <c r="D41" s="416" t="s">
        <v>382</v>
      </c>
      <c r="E41" s="416">
        <v>3</v>
      </c>
      <c r="F41" s="71">
        <v>32</v>
      </c>
      <c r="G41" s="40" t="s">
        <v>248</v>
      </c>
      <c r="H41" s="40" t="s">
        <v>232</v>
      </c>
      <c r="I41" s="40" t="s">
        <v>225</v>
      </c>
      <c r="J41" s="460">
        <v>82.16</v>
      </c>
      <c r="K41" s="371">
        <f t="shared" si="1"/>
        <v>200</v>
      </c>
      <c r="L41" s="72">
        <v>200</v>
      </c>
      <c r="M41" s="72"/>
      <c r="N41" s="73" t="e">
        <f t="shared" si="2"/>
        <v>#DIV/0!</v>
      </c>
      <c r="O41" s="73">
        <f t="shared" si="3"/>
        <v>0</v>
      </c>
      <c r="P41" s="74">
        <f>IF(L41="nio",0,IF(L41&gt;0,VLOOKUP(H41,'3-Productie normen'!A:J,VLOOKUP(L41,'3-Productie normen'!$B$33:$C$38,2,FALSE),FALSE)))/VLOOKUP(B41,'2-Kosten per locatie'!$A$12:$C$23,3,FALSE)</f>
        <v>0</v>
      </c>
      <c r="Q41" s="74">
        <f t="shared" si="4"/>
        <v>0</v>
      </c>
      <c r="R41" s="75" t="str">
        <f>VLOOKUP(H41,'3-Productie normen'!A:L,12,FALSE)</f>
        <v>V</v>
      </c>
      <c r="S41" s="75"/>
      <c r="U41" s="41">
        <f t="shared" si="5"/>
        <v>16432</v>
      </c>
    </row>
    <row r="42" spans="1:21" ht="14.1" customHeight="1">
      <c r="A42" s="54">
        <f t="shared" si="0"/>
        <v>42</v>
      </c>
      <c r="B42" s="70" t="s">
        <v>380</v>
      </c>
      <c r="C42" s="70" t="s">
        <v>381</v>
      </c>
      <c r="D42" s="416" t="s">
        <v>382</v>
      </c>
      <c r="E42" s="416">
        <v>3</v>
      </c>
      <c r="F42" s="71">
        <v>33</v>
      </c>
      <c r="G42" s="40" t="s">
        <v>252</v>
      </c>
      <c r="H42" s="40" t="s">
        <v>101</v>
      </c>
      <c r="I42" s="40" t="s">
        <v>225</v>
      </c>
      <c r="J42" s="460">
        <v>4.8899999999999997</v>
      </c>
      <c r="K42" s="371">
        <f t="shared" si="1"/>
        <v>0</v>
      </c>
      <c r="L42" s="72" t="s">
        <v>101</v>
      </c>
      <c r="M42" s="72"/>
      <c r="N42" s="73">
        <f t="shared" si="2"/>
        <v>0</v>
      </c>
      <c r="O42" s="73">
        <f t="shared" si="3"/>
        <v>0</v>
      </c>
      <c r="P42" s="74">
        <f>IF(L42="nio",0,IF(L42&gt;0,VLOOKUP(H42,'3-Productie normen'!A:J,VLOOKUP(L42,'3-Productie normen'!$B$33:$C$38,2,FALSE),FALSE)))/VLOOKUP(B42,'2-Kosten per locatie'!$A$12:$C$23,3,FALSE)</f>
        <v>0</v>
      </c>
      <c r="Q42" s="74">
        <f t="shared" si="4"/>
        <v>0</v>
      </c>
      <c r="R42" s="75">
        <f>VLOOKUP(H42,'3-Productie normen'!A:L,12,FALSE)</f>
        <v>0</v>
      </c>
      <c r="S42" s="75"/>
      <c r="U42" s="41">
        <f t="shared" si="5"/>
        <v>0</v>
      </c>
    </row>
    <row r="43" spans="1:21" ht="14.1" customHeight="1">
      <c r="A43" s="54">
        <f t="shared" si="0"/>
        <v>43</v>
      </c>
      <c r="B43" s="70" t="s">
        <v>380</v>
      </c>
      <c r="C43" s="70" t="s">
        <v>381</v>
      </c>
      <c r="D43" s="416" t="s">
        <v>382</v>
      </c>
      <c r="E43" s="416">
        <v>3</v>
      </c>
      <c r="F43" s="71">
        <v>34</v>
      </c>
      <c r="G43" s="40" t="s">
        <v>240</v>
      </c>
      <c r="H43" s="40" t="s">
        <v>240</v>
      </c>
      <c r="I43" s="40" t="s">
        <v>225</v>
      </c>
      <c r="J43" s="460">
        <v>52.2</v>
      </c>
      <c r="K43" s="371">
        <f t="shared" si="1"/>
        <v>200</v>
      </c>
      <c r="L43" s="72">
        <v>200</v>
      </c>
      <c r="M43" s="72"/>
      <c r="N43" s="73" t="e">
        <f t="shared" si="2"/>
        <v>#DIV/0!</v>
      </c>
      <c r="O43" s="73">
        <f t="shared" si="3"/>
        <v>0</v>
      </c>
      <c r="P43" s="74">
        <f>IF(L43="nio",0,IF(L43&gt;0,VLOOKUP(H43,'3-Productie normen'!A:J,VLOOKUP(L43,'3-Productie normen'!$B$33:$C$38,2,FALSE),FALSE)))/VLOOKUP(B43,'2-Kosten per locatie'!$A$12:$C$23,3,FALSE)</f>
        <v>0</v>
      </c>
      <c r="Q43" s="74">
        <f t="shared" si="4"/>
        <v>0</v>
      </c>
      <c r="R43" s="75" t="str">
        <f>VLOOKUP(H43,'3-Productie normen'!A:L,12,FALSE)</f>
        <v>V</v>
      </c>
      <c r="S43" s="75"/>
      <c r="U43" s="41">
        <f t="shared" si="5"/>
        <v>10440</v>
      </c>
    </row>
    <row r="44" spans="1:21" ht="14.1" customHeight="1">
      <c r="A44" s="54">
        <f t="shared" si="0"/>
        <v>44</v>
      </c>
      <c r="B44" s="70" t="s">
        <v>380</v>
      </c>
      <c r="C44" s="70" t="s">
        <v>381</v>
      </c>
      <c r="D44" s="416" t="s">
        <v>382</v>
      </c>
      <c r="E44" s="416">
        <v>3</v>
      </c>
      <c r="F44" s="71">
        <v>35</v>
      </c>
      <c r="G44" s="40" t="s">
        <v>240</v>
      </c>
      <c r="H44" s="40" t="s">
        <v>240</v>
      </c>
      <c r="I44" s="40" t="s">
        <v>225</v>
      </c>
      <c r="J44" s="460">
        <v>52.2</v>
      </c>
      <c r="K44" s="371">
        <f t="shared" si="1"/>
        <v>200</v>
      </c>
      <c r="L44" s="72">
        <v>200</v>
      </c>
      <c r="M44" s="72"/>
      <c r="N44" s="73" t="e">
        <f t="shared" si="2"/>
        <v>#DIV/0!</v>
      </c>
      <c r="O44" s="73">
        <f t="shared" si="3"/>
        <v>0</v>
      </c>
      <c r="P44" s="74">
        <f>IF(L44="nio",0,IF(L44&gt;0,VLOOKUP(H44,'3-Productie normen'!A:J,VLOOKUP(L44,'3-Productie normen'!$B$33:$C$38,2,FALSE),FALSE)))/VLOOKUP(B44,'2-Kosten per locatie'!$A$12:$C$23,3,FALSE)</f>
        <v>0</v>
      </c>
      <c r="Q44" s="74">
        <f t="shared" si="4"/>
        <v>0</v>
      </c>
      <c r="R44" s="75" t="str">
        <f>VLOOKUP(H44,'3-Productie normen'!A:L,12,FALSE)</f>
        <v>V</v>
      </c>
      <c r="S44" s="75"/>
      <c r="U44" s="41">
        <f t="shared" si="5"/>
        <v>10440</v>
      </c>
    </row>
    <row r="45" spans="1:21" ht="14.1" customHeight="1">
      <c r="A45" s="54">
        <f t="shared" si="0"/>
        <v>45</v>
      </c>
      <c r="B45" s="70" t="s">
        <v>380</v>
      </c>
      <c r="C45" s="70" t="s">
        <v>381</v>
      </c>
      <c r="D45" s="416" t="s">
        <v>382</v>
      </c>
      <c r="E45" s="416">
        <v>3</v>
      </c>
      <c r="F45" s="71">
        <v>36</v>
      </c>
      <c r="G45" s="70" t="s">
        <v>240</v>
      </c>
      <c r="H45" s="70" t="s">
        <v>240</v>
      </c>
      <c r="I45" s="40" t="s">
        <v>225</v>
      </c>
      <c r="J45" s="460">
        <v>52.39</v>
      </c>
      <c r="K45" s="371">
        <f t="shared" si="1"/>
        <v>200</v>
      </c>
      <c r="L45" s="72">
        <v>200</v>
      </c>
      <c r="M45" s="72"/>
      <c r="N45" s="73" t="e">
        <f t="shared" si="2"/>
        <v>#DIV/0!</v>
      </c>
      <c r="O45" s="73">
        <f t="shared" si="3"/>
        <v>0</v>
      </c>
      <c r="P45" s="74">
        <f>IF(L45="nio",0,IF(L45&gt;0,VLOOKUP(H45,'3-Productie normen'!A:J,VLOOKUP(L45,'3-Productie normen'!$B$33:$C$38,2,FALSE),FALSE)))/VLOOKUP(B45,'2-Kosten per locatie'!$A$12:$C$23,3,FALSE)</f>
        <v>0</v>
      </c>
      <c r="Q45" s="74">
        <f t="shared" si="4"/>
        <v>0</v>
      </c>
      <c r="R45" s="75" t="str">
        <f>VLOOKUP(H45,'3-Productie normen'!A:L,12,FALSE)</f>
        <v>V</v>
      </c>
      <c r="S45" s="75"/>
      <c r="U45" s="41">
        <f t="shared" si="5"/>
        <v>10478</v>
      </c>
    </row>
    <row r="46" spans="1:21" ht="14.1" customHeight="1">
      <c r="A46" s="54">
        <f t="shared" si="0"/>
        <v>46</v>
      </c>
      <c r="B46" s="70" t="s">
        <v>380</v>
      </c>
      <c r="C46" s="70" t="s">
        <v>381</v>
      </c>
      <c r="D46" s="416" t="s">
        <v>382</v>
      </c>
      <c r="E46" s="416">
        <v>3</v>
      </c>
      <c r="F46" s="71">
        <v>37</v>
      </c>
      <c r="G46" s="70" t="s">
        <v>176</v>
      </c>
      <c r="H46" s="70" t="s">
        <v>176</v>
      </c>
      <c r="I46" s="40" t="s">
        <v>225</v>
      </c>
      <c r="J46" s="460">
        <v>11.66</v>
      </c>
      <c r="K46" s="371">
        <f t="shared" si="1"/>
        <v>200</v>
      </c>
      <c r="L46" s="72">
        <v>200</v>
      </c>
      <c r="M46" s="72"/>
      <c r="N46" s="73" t="e">
        <f t="shared" si="2"/>
        <v>#DIV/0!</v>
      </c>
      <c r="O46" s="73">
        <f t="shared" si="3"/>
        <v>0</v>
      </c>
      <c r="P46" s="74">
        <f>IF(L46="nio",0,IF(L46&gt;0,VLOOKUP(H46,'3-Productie normen'!A:J,VLOOKUP(L46,'3-Productie normen'!$B$33:$C$38,2,FALSE),FALSE)))/VLOOKUP(B46,'2-Kosten per locatie'!$A$12:$C$23,3,FALSE)</f>
        <v>0</v>
      </c>
      <c r="Q46" s="74">
        <f t="shared" si="4"/>
        <v>0</v>
      </c>
      <c r="R46" s="75" t="str">
        <f>VLOOKUP(H46,'3-Productie normen'!A:L,12,FALSE)</f>
        <v>B</v>
      </c>
      <c r="S46" s="75"/>
      <c r="U46" s="41">
        <f t="shared" si="5"/>
        <v>2332</v>
      </c>
    </row>
    <row r="47" spans="1:21" ht="14.1" customHeight="1">
      <c r="A47" s="54">
        <f t="shared" si="0"/>
        <v>47</v>
      </c>
      <c r="B47" s="70" t="s">
        <v>380</v>
      </c>
      <c r="C47" s="70" t="s">
        <v>381</v>
      </c>
      <c r="D47" s="416" t="s">
        <v>382</v>
      </c>
      <c r="E47" s="416">
        <v>3</v>
      </c>
      <c r="F47" s="71">
        <v>38</v>
      </c>
      <c r="G47" s="70" t="s">
        <v>226</v>
      </c>
      <c r="H47" s="70" t="s">
        <v>226</v>
      </c>
      <c r="I47" s="40" t="s">
        <v>253</v>
      </c>
      <c r="J47" s="460">
        <v>14.84</v>
      </c>
      <c r="K47" s="371">
        <f t="shared" si="1"/>
        <v>200</v>
      </c>
      <c r="L47" s="72">
        <v>200</v>
      </c>
      <c r="M47" s="72"/>
      <c r="N47" s="73" t="e">
        <f t="shared" si="2"/>
        <v>#DIV/0!</v>
      </c>
      <c r="O47" s="73">
        <f t="shared" si="3"/>
        <v>0</v>
      </c>
      <c r="P47" s="74">
        <f>IF(L47="nio",0,IF(L47&gt;0,VLOOKUP(H47,'3-Productie normen'!A:J,VLOOKUP(L47,'3-Productie normen'!$B$33:$C$38,2,FALSE),FALSE)))/VLOOKUP(B47,'2-Kosten per locatie'!$A$12:$C$23,3,FALSE)</f>
        <v>0</v>
      </c>
      <c r="Q47" s="74">
        <f t="shared" si="4"/>
        <v>0</v>
      </c>
      <c r="R47" s="75" t="str">
        <f>VLOOKUP(H47,'3-Productie normen'!A:L,12,FALSE)</f>
        <v>V</v>
      </c>
      <c r="S47" s="75"/>
      <c r="U47" s="41">
        <f t="shared" si="5"/>
        <v>2968</v>
      </c>
    </row>
    <row r="48" spans="1:21" ht="14.1" customHeight="1">
      <c r="A48" s="54">
        <f t="shared" si="0"/>
        <v>48</v>
      </c>
      <c r="B48" s="70" t="s">
        <v>380</v>
      </c>
      <c r="C48" s="70" t="s">
        <v>381</v>
      </c>
      <c r="D48" s="416" t="s">
        <v>382</v>
      </c>
      <c r="E48" s="416">
        <v>3</v>
      </c>
      <c r="F48" s="71">
        <v>39</v>
      </c>
      <c r="G48" s="40" t="s">
        <v>248</v>
      </c>
      <c r="H48" s="40" t="s">
        <v>232</v>
      </c>
      <c r="I48" s="40" t="s">
        <v>227</v>
      </c>
      <c r="J48" s="460">
        <v>23.76</v>
      </c>
      <c r="K48" s="371">
        <f t="shared" si="1"/>
        <v>200</v>
      </c>
      <c r="L48" s="72">
        <v>200</v>
      </c>
      <c r="M48" s="72"/>
      <c r="N48" s="73" t="e">
        <f t="shared" si="2"/>
        <v>#DIV/0!</v>
      </c>
      <c r="O48" s="73">
        <f t="shared" si="3"/>
        <v>0</v>
      </c>
      <c r="P48" s="74">
        <f>IF(L48="nio",0,IF(L48&gt;0,VLOOKUP(H48,'3-Productie normen'!A:J,VLOOKUP(L48,'3-Productie normen'!$B$33:$C$38,2,FALSE),FALSE)))/VLOOKUP(B48,'2-Kosten per locatie'!$A$12:$C$23,3,FALSE)</f>
        <v>0</v>
      </c>
      <c r="Q48" s="74">
        <f t="shared" si="4"/>
        <v>0</v>
      </c>
      <c r="R48" s="75" t="str">
        <f>VLOOKUP(H48,'3-Productie normen'!A:L,12,FALSE)</f>
        <v>V</v>
      </c>
      <c r="S48" s="75"/>
      <c r="U48" s="41">
        <f t="shared" si="5"/>
        <v>4752</v>
      </c>
    </row>
    <row r="49" spans="1:21" ht="14.1" customHeight="1">
      <c r="A49" s="54">
        <f t="shared" si="0"/>
        <v>49</v>
      </c>
      <c r="B49" s="70" t="s">
        <v>380</v>
      </c>
      <c r="C49" s="70" t="s">
        <v>381</v>
      </c>
      <c r="D49" s="416" t="s">
        <v>382</v>
      </c>
      <c r="E49" s="416" t="s">
        <v>89</v>
      </c>
      <c r="F49" s="71">
        <v>40</v>
      </c>
      <c r="G49" s="40" t="s">
        <v>248</v>
      </c>
      <c r="H49" s="40" t="s">
        <v>232</v>
      </c>
      <c r="I49" s="40" t="s">
        <v>227</v>
      </c>
      <c r="J49" s="460">
        <v>21.56</v>
      </c>
      <c r="K49" s="371">
        <f t="shared" si="1"/>
        <v>200</v>
      </c>
      <c r="L49" s="72">
        <v>200</v>
      </c>
      <c r="M49" s="72"/>
      <c r="N49" s="73" t="e">
        <f t="shared" si="2"/>
        <v>#DIV/0!</v>
      </c>
      <c r="O49" s="73">
        <f t="shared" si="3"/>
        <v>0</v>
      </c>
      <c r="P49" s="74">
        <f>IF(L49="nio",0,IF(L49&gt;0,VLOOKUP(H49,'3-Productie normen'!A:J,VLOOKUP(L49,'3-Productie normen'!$B$33:$C$38,2,FALSE),FALSE)))/VLOOKUP(B49,'2-Kosten per locatie'!$A$12:$C$23,3,FALSE)</f>
        <v>0</v>
      </c>
      <c r="Q49" s="74">
        <f t="shared" si="4"/>
        <v>0</v>
      </c>
      <c r="R49" s="75" t="str">
        <f>VLOOKUP(H49,'3-Productie normen'!A:L,12,FALSE)</f>
        <v>V</v>
      </c>
      <c r="S49" s="75"/>
      <c r="U49" s="41">
        <f t="shared" si="5"/>
        <v>4312</v>
      </c>
    </row>
    <row r="50" spans="1:21" ht="14.1" customHeight="1">
      <c r="A50" s="54">
        <f t="shared" si="0"/>
        <v>50</v>
      </c>
      <c r="B50" s="70" t="s">
        <v>380</v>
      </c>
      <c r="C50" s="70" t="s">
        <v>381</v>
      </c>
      <c r="D50" s="416" t="s">
        <v>382</v>
      </c>
      <c r="E50" s="416" t="s">
        <v>89</v>
      </c>
      <c r="F50" s="71" t="s">
        <v>389</v>
      </c>
      <c r="G50" s="40" t="s">
        <v>230</v>
      </c>
      <c r="H50" s="40" t="s">
        <v>230</v>
      </c>
      <c r="I50" s="40" t="s">
        <v>225</v>
      </c>
      <c r="J50" s="460">
        <v>66.25</v>
      </c>
      <c r="K50" s="371">
        <f t="shared" si="1"/>
        <v>200</v>
      </c>
      <c r="L50" s="72">
        <v>200</v>
      </c>
      <c r="M50" s="72"/>
      <c r="N50" s="73" t="e">
        <f t="shared" si="2"/>
        <v>#DIV/0!</v>
      </c>
      <c r="O50" s="73">
        <f t="shared" si="3"/>
        <v>0</v>
      </c>
      <c r="P50" s="74">
        <f>IF(L50="nio",0,IF(L50&gt;0,VLOOKUP(H50,'3-Productie normen'!A:J,VLOOKUP(L50,'3-Productie normen'!$B$33:$C$38,2,FALSE),FALSE)))/VLOOKUP(B50,'2-Kosten per locatie'!$A$12:$C$23,3,FALSE)</f>
        <v>0</v>
      </c>
      <c r="Q50" s="74">
        <f t="shared" si="4"/>
        <v>0</v>
      </c>
      <c r="R50" s="75" t="str">
        <f>VLOOKUP(H50,'3-Productie normen'!A:L,12,FALSE)</f>
        <v>S</v>
      </c>
      <c r="S50" s="75"/>
      <c r="U50" s="41">
        <f t="shared" si="5"/>
        <v>13250</v>
      </c>
    </row>
    <row r="51" spans="1:21" ht="14.1" customHeight="1">
      <c r="A51" s="54">
        <f t="shared" si="0"/>
        <v>51</v>
      </c>
      <c r="B51" s="70" t="s">
        <v>380</v>
      </c>
      <c r="C51" s="70" t="s">
        <v>381</v>
      </c>
      <c r="D51" s="416" t="s">
        <v>382</v>
      </c>
      <c r="E51" s="416" t="s">
        <v>89</v>
      </c>
      <c r="F51" s="71" t="s">
        <v>390</v>
      </c>
      <c r="G51" s="40" t="s">
        <v>17</v>
      </c>
      <c r="H51" s="40" t="s">
        <v>17</v>
      </c>
      <c r="I51" s="40" t="s">
        <v>245</v>
      </c>
      <c r="J51" s="460">
        <v>3.33</v>
      </c>
      <c r="K51" s="371">
        <f t="shared" si="1"/>
        <v>200</v>
      </c>
      <c r="L51" s="72">
        <v>200</v>
      </c>
      <c r="M51" s="72"/>
      <c r="N51" s="73" t="e">
        <f t="shared" si="2"/>
        <v>#DIV/0!</v>
      </c>
      <c r="O51" s="73">
        <f t="shared" si="3"/>
        <v>0</v>
      </c>
      <c r="P51" s="74">
        <f>IF(L51="nio",0,IF(L51&gt;0,VLOOKUP(H51,'3-Productie normen'!A:J,VLOOKUP(L51,'3-Productie normen'!$B$33:$C$38,2,FALSE),FALSE)))/VLOOKUP(B51,'2-Kosten per locatie'!$A$12:$C$23,3,FALSE)</f>
        <v>0</v>
      </c>
      <c r="Q51" s="74">
        <f t="shared" si="4"/>
        <v>0</v>
      </c>
      <c r="R51" s="75" t="str">
        <f>VLOOKUP(H51,'3-Productie normen'!A:L,12,FALSE)</f>
        <v>S</v>
      </c>
      <c r="S51" s="75"/>
      <c r="U51" s="41">
        <f t="shared" si="5"/>
        <v>666</v>
      </c>
    </row>
    <row r="52" spans="1:21" ht="14.1" customHeight="1">
      <c r="A52" s="54">
        <f t="shared" si="0"/>
        <v>52</v>
      </c>
      <c r="B52" s="70" t="s">
        <v>380</v>
      </c>
      <c r="C52" s="70" t="s">
        <v>381</v>
      </c>
      <c r="D52" s="416" t="s">
        <v>382</v>
      </c>
      <c r="E52" s="416" t="s">
        <v>89</v>
      </c>
      <c r="F52" s="71" t="s">
        <v>391</v>
      </c>
      <c r="G52" s="77" t="s">
        <v>17</v>
      </c>
      <c r="H52" s="77" t="s">
        <v>17</v>
      </c>
      <c r="I52" s="40" t="s">
        <v>245</v>
      </c>
      <c r="J52" s="460">
        <v>1.53</v>
      </c>
      <c r="K52" s="371">
        <f t="shared" si="1"/>
        <v>200</v>
      </c>
      <c r="L52" s="72">
        <v>200</v>
      </c>
      <c r="M52" s="72"/>
      <c r="N52" s="73" t="e">
        <f t="shared" si="2"/>
        <v>#DIV/0!</v>
      </c>
      <c r="O52" s="73">
        <f t="shared" si="3"/>
        <v>0</v>
      </c>
      <c r="P52" s="74">
        <f>IF(L52="nio",0,IF(L52&gt;0,VLOOKUP(H52,'3-Productie normen'!A:J,VLOOKUP(L52,'3-Productie normen'!$B$33:$C$38,2,FALSE),FALSE)))/VLOOKUP(B52,'2-Kosten per locatie'!$A$12:$C$23,3,FALSE)</f>
        <v>0</v>
      </c>
      <c r="Q52" s="74">
        <f t="shared" si="4"/>
        <v>0</v>
      </c>
      <c r="R52" s="75" t="str">
        <f>VLOOKUP(H52,'3-Productie normen'!A:L,12,FALSE)</f>
        <v>S</v>
      </c>
      <c r="S52" s="75"/>
      <c r="U52" s="41">
        <f t="shared" si="5"/>
        <v>306</v>
      </c>
    </row>
    <row r="53" spans="1:21" ht="14.1" customHeight="1">
      <c r="A53" s="54">
        <f t="shared" si="0"/>
        <v>53</v>
      </c>
      <c r="B53" s="70" t="s">
        <v>380</v>
      </c>
      <c r="C53" s="70" t="s">
        <v>381</v>
      </c>
      <c r="D53" s="416" t="s">
        <v>382</v>
      </c>
      <c r="E53" s="416" t="s">
        <v>89</v>
      </c>
      <c r="F53" s="71" t="s">
        <v>392</v>
      </c>
      <c r="G53" s="40" t="s">
        <v>226</v>
      </c>
      <c r="H53" s="40" t="s">
        <v>226</v>
      </c>
      <c r="I53" s="78" t="s">
        <v>253</v>
      </c>
      <c r="J53" s="460">
        <v>4.4800000000000004</v>
      </c>
      <c r="K53" s="371">
        <f t="shared" si="1"/>
        <v>200</v>
      </c>
      <c r="L53" s="72">
        <v>200</v>
      </c>
      <c r="M53" s="72"/>
      <c r="N53" s="73" t="e">
        <f t="shared" si="2"/>
        <v>#DIV/0!</v>
      </c>
      <c r="O53" s="73">
        <f t="shared" si="3"/>
        <v>0</v>
      </c>
      <c r="P53" s="74">
        <f>IF(L53="nio",0,IF(L53&gt;0,VLOOKUP(H53,'3-Productie normen'!A:J,VLOOKUP(L53,'3-Productie normen'!$B$33:$C$38,2,FALSE),FALSE)))/VLOOKUP(B53,'2-Kosten per locatie'!$A$12:$C$23,3,FALSE)</f>
        <v>0</v>
      </c>
      <c r="Q53" s="74">
        <f t="shared" si="4"/>
        <v>0</v>
      </c>
      <c r="R53" s="75" t="str">
        <f>VLOOKUP(H53,'3-Productie normen'!A:L,12,FALSE)</f>
        <v>V</v>
      </c>
      <c r="S53" s="75"/>
      <c r="U53" s="41">
        <f t="shared" si="5"/>
        <v>896.00000000000011</v>
      </c>
    </row>
    <row r="54" spans="1:21" ht="14.1" customHeight="1">
      <c r="A54" s="54">
        <f t="shared" si="0"/>
        <v>54</v>
      </c>
      <c r="B54" s="70" t="s">
        <v>380</v>
      </c>
      <c r="C54" s="70" t="s">
        <v>381</v>
      </c>
      <c r="D54" s="417" t="s">
        <v>382</v>
      </c>
      <c r="E54" s="417" t="s">
        <v>89</v>
      </c>
      <c r="F54" s="79" t="s">
        <v>393</v>
      </c>
      <c r="G54" s="80" t="s">
        <v>247</v>
      </c>
      <c r="H54" s="80" t="s">
        <v>90</v>
      </c>
      <c r="I54" s="40" t="s">
        <v>227</v>
      </c>
      <c r="J54" s="460">
        <v>6.82</v>
      </c>
      <c r="K54" s="371">
        <f t="shared" si="1"/>
        <v>200</v>
      </c>
      <c r="L54" s="72">
        <v>200</v>
      </c>
      <c r="M54" s="72"/>
      <c r="N54" s="73" t="e">
        <f t="shared" si="2"/>
        <v>#DIV/0!</v>
      </c>
      <c r="O54" s="73">
        <f t="shared" si="3"/>
        <v>0</v>
      </c>
      <c r="P54" s="74">
        <f>IF(L54="nio",0,IF(L54&gt;0,VLOOKUP(H54,'3-Productie normen'!A:J,VLOOKUP(L54,'3-Productie normen'!$B$33:$C$38,2,FALSE),FALSE)))/VLOOKUP(B54,'2-Kosten per locatie'!$A$12:$C$23,3,FALSE)</f>
        <v>0</v>
      </c>
      <c r="Q54" s="74">
        <f t="shared" si="4"/>
        <v>0</v>
      </c>
      <c r="R54" s="75" t="str">
        <f>VLOOKUP(H54,'3-Productie normen'!A:L,12,FALSE)</f>
        <v>V</v>
      </c>
      <c r="S54" s="75"/>
      <c r="U54" s="41">
        <f t="shared" si="5"/>
        <v>1364</v>
      </c>
    </row>
    <row r="55" spans="1:21" ht="14.1" customHeight="1">
      <c r="A55" s="54">
        <f t="shared" si="0"/>
        <v>55</v>
      </c>
      <c r="B55" s="70" t="s">
        <v>380</v>
      </c>
      <c r="C55" s="70" t="s">
        <v>381</v>
      </c>
      <c r="D55" s="416" t="s">
        <v>382</v>
      </c>
      <c r="E55" s="416">
        <v>1</v>
      </c>
      <c r="F55" s="71">
        <v>46</v>
      </c>
      <c r="G55" s="40" t="s">
        <v>249</v>
      </c>
      <c r="H55" s="40" t="s">
        <v>231</v>
      </c>
      <c r="I55" s="40" t="s">
        <v>225</v>
      </c>
      <c r="J55" s="460">
        <v>50.5</v>
      </c>
      <c r="K55" s="371">
        <f t="shared" si="1"/>
        <v>200</v>
      </c>
      <c r="L55" s="72">
        <v>200</v>
      </c>
      <c r="M55" s="72"/>
      <c r="N55" s="73" t="e">
        <f t="shared" si="2"/>
        <v>#DIV/0!</v>
      </c>
      <c r="O55" s="73">
        <f t="shared" si="3"/>
        <v>0</v>
      </c>
      <c r="P55" s="74">
        <f>IF(L55="nio",0,IF(L55&gt;0,VLOOKUP(H55,'3-Productie normen'!A:J,VLOOKUP(L55,'3-Productie normen'!$B$33:$C$38,2,FALSE),FALSE)))/VLOOKUP(B55,'2-Kosten per locatie'!$A$12:$C$23,3,FALSE)</f>
        <v>0</v>
      </c>
      <c r="Q55" s="74">
        <f t="shared" si="4"/>
        <v>0</v>
      </c>
      <c r="R55" s="75" t="str">
        <f>VLOOKUP(H55,'3-Productie normen'!A:L,12,FALSE)</f>
        <v>L</v>
      </c>
      <c r="S55" s="75"/>
      <c r="U55" s="41">
        <f t="shared" si="5"/>
        <v>10100</v>
      </c>
    </row>
    <row r="56" spans="1:21" ht="14.1" customHeight="1">
      <c r="A56" s="54">
        <f t="shared" si="0"/>
        <v>56</v>
      </c>
      <c r="B56" s="70" t="s">
        <v>380</v>
      </c>
      <c r="C56" s="70" t="s">
        <v>381</v>
      </c>
      <c r="D56" s="416" t="s">
        <v>382</v>
      </c>
      <c r="E56" s="416">
        <v>1</v>
      </c>
      <c r="F56" s="71">
        <v>47</v>
      </c>
      <c r="G56" s="40" t="s">
        <v>17</v>
      </c>
      <c r="H56" s="40" t="s">
        <v>17</v>
      </c>
      <c r="I56" s="40" t="s">
        <v>245</v>
      </c>
      <c r="J56" s="460">
        <v>2.63</v>
      </c>
      <c r="K56" s="371">
        <f t="shared" si="1"/>
        <v>200</v>
      </c>
      <c r="L56" s="72">
        <v>200</v>
      </c>
      <c r="M56" s="72"/>
      <c r="N56" s="73" t="e">
        <f t="shared" si="2"/>
        <v>#DIV/0!</v>
      </c>
      <c r="O56" s="73">
        <f t="shared" si="3"/>
        <v>0</v>
      </c>
      <c r="P56" s="74">
        <f>IF(L56="nio",0,IF(L56&gt;0,VLOOKUP(H56,'3-Productie normen'!A:J,VLOOKUP(L56,'3-Productie normen'!$B$33:$C$38,2,FALSE),FALSE)))/VLOOKUP(B56,'2-Kosten per locatie'!$A$12:$C$23,3,FALSE)</f>
        <v>0</v>
      </c>
      <c r="Q56" s="74">
        <f t="shared" si="4"/>
        <v>0</v>
      </c>
      <c r="R56" s="75" t="str">
        <f>VLOOKUP(H56,'3-Productie normen'!A:L,12,FALSE)</f>
        <v>S</v>
      </c>
      <c r="S56" s="75"/>
      <c r="U56" s="41">
        <f t="shared" si="5"/>
        <v>526</v>
      </c>
    </row>
    <row r="57" spans="1:21" ht="14.1" customHeight="1">
      <c r="A57" s="54">
        <f t="shared" si="0"/>
        <v>57</v>
      </c>
      <c r="B57" s="70" t="s">
        <v>380</v>
      </c>
      <c r="C57" s="70" t="s">
        <v>381</v>
      </c>
      <c r="D57" s="416" t="s">
        <v>382</v>
      </c>
      <c r="E57" s="416">
        <v>1</v>
      </c>
      <c r="F57" s="71">
        <v>48</v>
      </c>
      <c r="G57" s="40" t="s">
        <v>248</v>
      </c>
      <c r="H57" s="40" t="s">
        <v>232</v>
      </c>
      <c r="I57" s="40" t="s">
        <v>225</v>
      </c>
      <c r="J57" s="460">
        <v>5.81</v>
      </c>
      <c r="K57" s="371">
        <f t="shared" si="1"/>
        <v>200</v>
      </c>
      <c r="L57" s="72">
        <v>200</v>
      </c>
      <c r="M57" s="72"/>
      <c r="N57" s="73" t="e">
        <f t="shared" si="2"/>
        <v>#DIV/0!</v>
      </c>
      <c r="O57" s="73">
        <f t="shared" si="3"/>
        <v>0</v>
      </c>
      <c r="P57" s="74">
        <f>IF(L57="nio",0,IF(L57&gt;0,VLOOKUP(H57,'3-Productie normen'!A:J,VLOOKUP(L57,'3-Productie normen'!$B$33:$C$38,2,FALSE),FALSE)))/VLOOKUP(B57,'2-Kosten per locatie'!$A$12:$C$23,3,FALSE)</f>
        <v>0</v>
      </c>
      <c r="Q57" s="74">
        <f t="shared" si="4"/>
        <v>0</v>
      </c>
      <c r="R57" s="75" t="str">
        <f>VLOOKUP(H57,'3-Productie normen'!A:L,12,FALSE)</f>
        <v>V</v>
      </c>
      <c r="S57" s="75"/>
      <c r="U57" s="41">
        <f t="shared" si="5"/>
        <v>1162</v>
      </c>
    </row>
    <row r="58" spans="1:21" ht="14.1" customHeight="1">
      <c r="A58" s="54">
        <f t="shared" si="0"/>
        <v>58</v>
      </c>
      <c r="B58" s="70" t="s">
        <v>380</v>
      </c>
      <c r="C58" s="70" t="s">
        <v>381</v>
      </c>
      <c r="D58" s="416" t="s">
        <v>394</v>
      </c>
      <c r="E58" s="416">
        <v>1</v>
      </c>
      <c r="F58" s="71">
        <v>49</v>
      </c>
      <c r="G58" s="40" t="s">
        <v>252</v>
      </c>
      <c r="H58" s="40" t="s">
        <v>101</v>
      </c>
      <c r="I58" s="40" t="s">
        <v>225</v>
      </c>
      <c r="J58" s="460">
        <v>6.08</v>
      </c>
      <c r="K58" s="371">
        <f t="shared" si="1"/>
        <v>0</v>
      </c>
      <c r="L58" s="72" t="s">
        <v>101</v>
      </c>
      <c r="M58" s="72"/>
      <c r="N58" s="73">
        <f t="shared" si="2"/>
        <v>0</v>
      </c>
      <c r="O58" s="73">
        <f t="shared" si="3"/>
        <v>0</v>
      </c>
      <c r="P58" s="74">
        <f>IF(L58="nio",0,IF(L58&gt;0,VLOOKUP(H58,'3-Productie normen'!A:J,VLOOKUP(L58,'3-Productie normen'!$B$33:$C$38,2,FALSE),FALSE)))/VLOOKUP(B58,'2-Kosten per locatie'!$A$12:$C$23,3,FALSE)</f>
        <v>0</v>
      </c>
      <c r="Q58" s="74">
        <f t="shared" si="4"/>
        <v>0</v>
      </c>
      <c r="R58" s="75">
        <f>VLOOKUP(H58,'3-Productie normen'!A:L,12,FALSE)</f>
        <v>0</v>
      </c>
      <c r="S58" s="75"/>
      <c r="U58" s="41">
        <f t="shared" si="5"/>
        <v>0</v>
      </c>
    </row>
    <row r="59" spans="1:21" ht="14.1" customHeight="1">
      <c r="A59" s="54">
        <f t="shared" si="0"/>
        <v>59</v>
      </c>
      <c r="B59" s="70" t="s">
        <v>380</v>
      </c>
      <c r="C59" s="70" t="s">
        <v>381</v>
      </c>
      <c r="D59" s="416" t="s">
        <v>382</v>
      </c>
      <c r="E59" s="416">
        <v>1</v>
      </c>
      <c r="F59" s="71">
        <v>50</v>
      </c>
      <c r="G59" s="40" t="s">
        <v>252</v>
      </c>
      <c r="H59" s="40" t="s">
        <v>101</v>
      </c>
      <c r="I59" s="40" t="s">
        <v>225</v>
      </c>
      <c r="J59" s="460">
        <v>4.3899999999999997</v>
      </c>
      <c r="K59" s="371">
        <f t="shared" si="1"/>
        <v>0</v>
      </c>
      <c r="L59" s="72" t="s">
        <v>101</v>
      </c>
      <c r="M59" s="72"/>
      <c r="N59" s="73">
        <f t="shared" si="2"/>
        <v>0</v>
      </c>
      <c r="O59" s="73">
        <f t="shared" si="3"/>
        <v>0</v>
      </c>
      <c r="P59" s="74">
        <f>IF(L59="nio",0,IF(L59&gt;0,VLOOKUP(H59,'3-Productie normen'!A:J,VLOOKUP(L59,'3-Productie normen'!$B$33:$C$38,2,FALSE),FALSE)))/VLOOKUP(B59,'2-Kosten per locatie'!$A$12:$C$23,3,FALSE)</f>
        <v>0</v>
      </c>
      <c r="Q59" s="74">
        <f t="shared" si="4"/>
        <v>0</v>
      </c>
      <c r="R59" s="75">
        <f>VLOOKUP(H59,'3-Productie normen'!A:L,12,FALSE)</f>
        <v>0</v>
      </c>
      <c r="S59" s="75"/>
      <c r="U59" s="41">
        <f t="shared" si="5"/>
        <v>0</v>
      </c>
    </row>
    <row r="60" spans="1:21" ht="14.1" customHeight="1">
      <c r="A60" s="54">
        <f t="shared" si="0"/>
        <v>60</v>
      </c>
      <c r="B60" s="70" t="s">
        <v>395</v>
      </c>
      <c r="C60" s="70"/>
      <c r="D60" s="416" t="s">
        <v>396</v>
      </c>
      <c r="E60" s="416">
        <v>3</v>
      </c>
      <c r="F60" s="71">
        <v>44</v>
      </c>
      <c r="G60" s="40" t="s">
        <v>251</v>
      </c>
      <c r="H60" s="40" t="s">
        <v>232</v>
      </c>
      <c r="I60" s="40" t="s">
        <v>225</v>
      </c>
      <c r="J60" s="460">
        <v>13.64</v>
      </c>
      <c r="K60" s="371">
        <f t="shared" si="1"/>
        <v>200</v>
      </c>
      <c r="L60" s="72">
        <v>200</v>
      </c>
      <c r="M60" s="72"/>
      <c r="N60" s="73" t="e">
        <f t="shared" si="2"/>
        <v>#DIV/0!</v>
      </c>
      <c r="O60" s="73">
        <f t="shared" si="3"/>
        <v>0</v>
      </c>
      <c r="P60" s="74">
        <f>IF(L60="nio",0,IF(L60&gt;0,VLOOKUP(H60,'3-Productie normen'!A:J,VLOOKUP(L60,'3-Productie normen'!$B$33:$C$38,2,FALSE),FALSE)))/VLOOKUP(B60,'2-Kosten per locatie'!$A$12:$C$23,3,FALSE)</f>
        <v>0</v>
      </c>
      <c r="Q60" s="74">
        <f t="shared" si="4"/>
        <v>0</v>
      </c>
      <c r="R60" s="75" t="str">
        <f>VLOOKUP(H60,'3-Productie normen'!A:L,12,FALSE)</f>
        <v>V</v>
      </c>
      <c r="S60" s="75"/>
      <c r="U60" s="41">
        <f t="shared" si="5"/>
        <v>2728</v>
      </c>
    </row>
    <row r="61" spans="1:21" ht="14.1" customHeight="1">
      <c r="A61" s="54">
        <f t="shared" si="0"/>
        <v>61</v>
      </c>
      <c r="B61" s="70" t="s">
        <v>395</v>
      </c>
      <c r="C61" s="70"/>
      <c r="D61" s="416" t="s">
        <v>396</v>
      </c>
      <c r="E61" s="416" t="s">
        <v>89</v>
      </c>
      <c r="F61" s="71">
        <v>9</v>
      </c>
      <c r="G61" s="40" t="s">
        <v>176</v>
      </c>
      <c r="H61" s="40" t="s">
        <v>176</v>
      </c>
      <c r="I61" s="40" t="s">
        <v>225</v>
      </c>
      <c r="J61" s="460">
        <v>5.01</v>
      </c>
      <c r="K61" s="371">
        <f t="shared" si="1"/>
        <v>200</v>
      </c>
      <c r="L61" s="72">
        <v>200</v>
      </c>
      <c r="M61" s="72"/>
      <c r="N61" s="73" t="e">
        <f t="shared" si="2"/>
        <v>#DIV/0!</v>
      </c>
      <c r="O61" s="73">
        <f t="shared" si="3"/>
        <v>0</v>
      </c>
      <c r="P61" s="74">
        <f>IF(L61="nio",0,IF(L61&gt;0,VLOOKUP(H61,'3-Productie normen'!A:J,VLOOKUP(L61,'3-Productie normen'!$B$33:$C$38,2,FALSE),FALSE)))/VLOOKUP(B61,'2-Kosten per locatie'!$A$12:$C$23,3,FALSE)</f>
        <v>0</v>
      </c>
      <c r="Q61" s="74">
        <f t="shared" si="4"/>
        <v>0</v>
      </c>
      <c r="R61" s="75" t="str">
        <f>VLOOKUP(H61,'3-Productie normen'!A:L,12,FALSE)</f>
        <v>B</v>
      </c>
      <c r="S61" s="75"/>
      <c r="U61" s="41">
        <f t="shared" si="5"/>
        <v>1002</v>
      </c>
    </row>
    <row r="62" spans="1:21" ht="14.1" customHeight="1">
      <c r="A62" s="54">
        <f t="shared" si="0"/>
        <v>62</v>
      </c>
      <c r="B62" s="70" t="s">
        <v>395</v>
      </c>
      <c r="C62" s="70"/>
      <c r="D62" s="416" t="s">
        <v>396</v>
      </c>
      <c r="E62" s="416" t="s">
        <v>89</v>
      </c>
      <c r="F62" s="71">
        <v>17</v>
      </c>
      <c r="G62" s="40" t="s">
        <v>176</v>
      </c>
      <c r="H62" s="40" t="s">
        <v>176</v>
      </c>
      <c r="I62" s="40" t="s">
        <v>225</v>
      </c>
      <c r="J62" s="460">
        <v>3.3</v>
      </c>
      <c r="K62" s="371">
        <f t="shared" si="1"/>
        <v>200</v>
      </c>
      <c r="L62" s="72">
        <v>200</v>
      </c>
      <c r="M62" s="72"/>
      <c r="N62" s="73" t="e">
        <f t="shared" si="2"/>
        <v>#DIV/0!</v>
      </c>
      <c r="O62" s="73">
        <f t="shared" si="3"/>
        <v>0</v>
      </c>
      <c r="P62" s="74">
        <f>IF(L62="nio",0,IF(L62&gt;0,VLOOKUP(H62,'3-Productie normen'!A:J,VLOOKUP(L62,'3-Productie normen'!$B$33:$C$38,2,FALSE),FALSE)))/VLOOKUP(B62,'2-Kosten per locatie'!$A$12:$C$23,3,FALSE)</f>
        <v>0</v>
      </c>
      <c r="Q62" s="74">
        <f t="shared" si="4"/>
        <v>0</v>
      </c>
      <c r="R62" s="75" t="str">
        <f>VLOOKUP(H62,'3-Productie normen'!A:L,12,FALSE)</f>
        <v>B</v>
      </c>
      <c r="S62" s="75"/>
      <c r="U62" s="41">
        <f t="shared" si="5"/>
        <v>660</v>
      </c>
    </row>
    <row r="63" spans="1:21" ht="14.1" customHeight="1">
      <c r="A63" s="54">
        <f t="shared" si="0"/>
        <v>63</v>
      </c>
      <c r="B63" s="70" t="s">
        <v>395</v>
      </c>
      <c r="C63" s="70"/>
      <c r="D63" s="416" t="s">
        <v>396</v>
      </c>
      <c r="E63" s="416">
        <v>1</v>
      </c>
      <c r="F63" s="71">
        <v>27</v>
      </c>
      <c r="G63" s="40" t="s">
        <v>176</v>
      </c>
      <c r="H63" s="40" t="s">
        <v>176</v>
      </c>
      <c r="I63" s="40" t="s">
        <v>225</v>
      </c>
      <c r="J63" s="460">
        <v>8.5</v>
      </c>
      <c r="K63" s="371">
        <f t="shared" si="1"/>
        <v>200</v>
      </c>
      <c r="L63" s="72">
        <v>200</v>
      </c>
      <c r="M63" s="72"/>
      <c r="N63" s="73" t="e">
        <f t="shared" si="2"/>
        <v>#DIV/0!</v>
      </c>
      <c r="O63" s="73">
        <f t="shared" si="3"/>
        <v>0</v>
      </c>
      <c r="P63" s="74">
        <f>IF(L63="nio",0,IF(L63&gt;0,VLOOKUP(H63,'3-Productie normen'!A:J,VLOOKUP(L63,'3-Productie normen'!$B$33:$C$38,2,FALSE),FALSE)))/VLOOKUP(B63,'2-Kosten per locatie'!$A$12:$C$23,3,FALSE)</f>
        <v>0</v>
      </c>
      <c r="Q63" s="74">
        <f t="shared" si="4"/>
        <v>0</v>
      </c>
      <c r="R63" s="75" t="str">
        <f>VLOOKUP(H63,'3-Productie normen'!A:L,12,FALSE)</f>
        <v>B</v>
      </c>
      <c r="S63" s="75"/>
      <c r="U63" s="41">
        <f t="shared" si="5"/>
        <v>1700</v>
      </c>
    </row>
    <row r="64" spans="1:21" ht="14.1" customHeight="1">
      <c r="A64" s="54">
        <f t="shared" si="0"/>
        <v>64</v>
      </c>
      <c r="B64" s="70" t="s">
        <v>395</v>
      </c>
      <c r="C64" s="70"/>
      <c r="D64" s="416" t="s">
        <v>396</v>
      </c>
      <c r="E64" s="416">
        <v>1</v>
      </c>
      <c r="F64" s="71">
        <v>23</v>
      </c>
      <c r="G64" s="40" t="s">
        <v>252</v>
      </c>
      <c r="H64" s="40" t="s">
        <v>101</v>
      </c>
      <c r="I64" s="40" t="s">
        <v>250</v>
      </c>
      <c r="J64" s="460">
        <v>4.6399999999999997</v>
      </c>
      <c r="K64" s="371">
        <f t="shared" si="1"/>
        <v>0</v>
      </c>
      <c r="L64" s="72" t="s">
        <v>101</v>
      </c>
      <c r="M64" s="72"/>
      <c r="N64" s="73">
        <f t="shared" si="2"/>
        <v>0</v>
      </c>
      <c r="O64" s="73">
        <f t="shared" si="3"/>
        <v>0</v>
      </c>
      <c r="P64" s="74">
        <f>IF(L64="nio",0,IF(L64&gt;0,VLOOKUP(H64,'3-Productie normen'!A:J,VLOOKUP(L64,'3-Productie normen'!$B$33:$C$38,2,FALSE),FALSE)))/VLOOKUP(B64,'2-Kosten per locatie'!$A$12:$C$23,3,FALSE)</f>
        <v>0</v>
      </c>
      <c r="Q64" s="74">
        <f t="shared" si="4"/>
        <v>0</v>
      </c>
      <c r="R64" s="75">
        <f>VLOOKUP(H64,'3-Productie normen'!A:L,12,FALSE)</f>
        <v>0</v>
      </c>
      <c r="S64" s="75"/>
      <c r="U64" s="41">
        <f t="shared" si="5"/>
        <v>0</v>
      </c>
    </row>
    <row r="65" spans="1:21" ht="14.1" customHeight="1">
      <c r="A65" s="54">
        <f t="shared" si="0"/>
        <v>65</v>
      </c>
      <c r="B65" s="70" t="s">
        <v>395</v>
      </c>
      <c r="C65" s="70"/>
      <c r="D65" s="416" t="s">
        <v>396</v>
      </c>
      <c r="E65" s="416">
        <v>2</v>
      </c>
      <c r="F65" s="71">
        <v>33</v>
      </c>
      <c r="G65" s="40" t="s">
        <v>252</v>
      </c>
      <c r="H65" s="40" t="s">
        <v>101</v>
      </c>
      <c r="I65" s="40" t="s">
        <v>250</v>
      </c>
      <c r="J65" s="460">
        <v>4.6399999999999997</v>
      </c>
      <c r="K65" s="371">
        <f t="shared" si="1"/>
        <v>0</v>
      </c>
      <c r="L65" s="72" t="s">
        <v>101</v>
      </c>
      <c r="M65" s="72"/>
      <c r="N65" s="73">
        <f t="shared" si="2"/>
        <v>0</v>
      </c>
      <c r="O65" s="73">
        <f t="shared" si="3"/>
        <v>0</v>
      </c>
      <c r="P65" s="74">
        <f>IF(L65="nio",0,IF(L65&gt;0,VLOOKUP(H65,'3-Productie normen'!A:J,VLOOKUP(L65,'3-Productie normen'!$B$33:$C$38,2,FALSE),FALSE)))/VLOOKUP(B65,'2-Kosten per locatie'!$A$12:$C$23,3,FALSE)</f>
        <v>0</v>
      </c>
      <c r="Q65" s="74">
        <f t="shared" si="4"/>
        <v>0</v>
      </c>
      <c r="R65" s="75">
        <f>VLOOKUP(H65,'3-Productie normen'!A:L,12,FALSE)</f>
        <v>0</v>
      </c>
      <c r="S65" s="75"/>
      <c r="U65" s="41">
        <f t="shared" si="5"/>
        <v>0</v>
      </c>
    </row>
    <row r="66" spans="1:21" ht="14.1" customHeight="1">
      <c r="A66" s="54">
        <f t="shared" si="0"/>
        <v>66</v>
      </c>
      <c r="B66" s="70" t="s">
        <v>395</v>
      </c>
      <c r="C66" s="70"/>
      <c r="D66" s="416" t="s">
        <v>396</v>
      </c>
      <c r="E66" s="416">
        <v>3</v>
      </c>
      <c r="F66" s="71">
        <v>40</v>
      </c>
      <c r="G66" s="40" t="s">
        <v>252</v>
      </c>
      <c r="H66" s="40" t="s">
        <v>101</v>
      </c>
      <c r="I66" s="40" t="s">
        <v>250</v>
      </c>
      <c r="J66" s="460">
        <v>4.6399999999999997</v>
      </c>
      <c r="K66" s="371">
        <f t="shared" si="1"/>
        <v>0</v>
      </c>
      <c r="L66" s="72" t="s">
        <v>101</v>
      </c>
      <c r="M66" s="72"/>
      <c r="N66" s="73">
        <f t="shared" si="2"/>
        <v>0</v>
      </c>
      <c r="O66" s="73">
        <f t="shared" si="3"/>
        <v>0</v>
      </c>
      <c r="P66" s="74">
        <f>IF(L66="nio",0,IF(L66&gt;0,VLOOKUP(H66,'3-Productie normen'!A:J,VLOOKUP(L66,'3-Productie normen'!$B$33:$C$38,2,FALSE),FALSE)))/VLOOKUP(B66,'2-Kosten per locatie'!$A$12:$C$23,3,FALSE)</f>
        <v>0</v>
      </c>
      <c r="Q66" s="74">
        <f t="shared" si="4"/>
        <v>0</v>
      </c>
      <c r="R66" s="75">
        <f>VLOOKUP(H66,'3-Productie normen'!A:L,12,FALSE)</f>
        <v>0</v>
      </c>
      <c r="S66" s="75"/>
      <c r="U66" s="41">
        <f t="shared" si="5"/>
        <v>0</v>
      </c>
    </row>
    <row r="67" spans="1:21" ht="14.1" customHeight="1">
      <c r="A67" s="54">
        <f t="shared" ref="A67:A130" si="6">A66+1</f>
        <v>67</v>
      </c>
      <c r="B67" s="70" t="s">
        <v>395</v>
      </c>
      <c r="C67" s="70"/>
      <c r="D67" s="416" t="s">
        <v>396</v>
      </c>
      <c r="E67" s="416">
        <v>1</v>
      </c>
      <c r="F67" s="71" t="s">
        <v>266</v>
      </c>
      <c r="G67" s="40" t="s">
        <v>397</v>
      </c>
      <c r="H67" s="40" t="s">
        <v>176</v>
      </c>
      <c r="I67" s="40" t="s">
        <v>225</v>
      </c>
      <c r="J67" s="460">
        <v>55</v>
      </c>
      <c r="K67" s="371">
        <f t="shared" si="1"/>
        <v>200</v>
      </c>
      <c r="L67" s="72">
        <v>200</v>
      </c>
      <c r="M67" s="72"/>
      <c r="N67" s="73" t="e">
        <f t="shared" si="2"/>
        <v>#DIV/0!</v>
      </c>
      <c r="O67" s="73">
        <f t="shared" si="3"/>
        <v>0</v>
      </c>
      <c r="P67" s="74">
        <f>IF(L67="nio",0,IF(L67&gt;0,VLOOKUP(H67,'3-Productie normen'!A:J,VLOOKUP(L67,'3-Productie normen'!$B$33:$C$38,2,FALSE),FALSE)))/VLOOKUP(B67,'2-Kosten per locatie'!$A$12:$C$23,3,FALSE)</f>
        <v>0</v>
      </c>
      <c r="Q67" s="74">
        <f t="shared" si="4"/>
        <v>0</v>
      </c>
      <c r="R67" s="75" t="str">
        <f>VLOOKUP(H67,'3-Productie normen'!A:L,12,FALSE)</f>
        <v>B</v>
      </c>
      <c r="S67" s="75"/>
      <c r="U67" s="41">
        <f t="shared" si="5"/>
        <v>11000</v>
      </c>
    </row>
    <row r="68" spans="1:21" ht="14.1" customHeight="1">
      <c r="A68" s="54">
        <f t="shared" si="6"/>
        <v>68</v>
      </c>
      <c r="B68" s="70" t="s">
        <v>395</v>
      </c>
      <c r="C68" s="70"/>
      <c r="D68" s="416" t="s">
        <v>396</v>
      </c>
      <c r="E68" s="416" t="s">
        <v>89</v>
      </c>
      <c r="F68" s="71">
        <v>2</v>
      </c>
      <c r="G68" s="40" t="s">
        <v>247</v>
      </c>
      <c r="H68" s="40" t="s">
        <v>90</v>
      </c>
      <c r="I68" s="40" t="s">
        <v>227</v>
      </c>
      <c r="J68" s="460">
        <v>46.18</v>
      </c>
      <c r="K68" s="371">
        <f t="shared" si="1"/>
        <v>200</v>
      </c>
      <c r="L68" s="72">
        <v>200</v>
      </c>
      <c r="M68" s="72"/>
      <c r="N68" s="73" t="e">
        <f t="shared" si="2"/>
        <v>#DIV/0!</v>
      </c>
      <c r="O68" s="73">
        <f t="shared" si="3"/>
        <v>0</v>
      </c>
      <c r="P68" s="74">
        <f>IF(L68="nio",0,IF(L68&gt;0,VLOOKUP(H68,'3-Productie normen'!A:J,VLOOKUP(L68,'3-Productie normen'!$B$33:$C$38,2,FALSE),FALSE)))/VLOOKUP(B68,'2-Kosten per locatie'!$A$12:$C$23,3,FALSE)</f>
        <v>0</v>
      </c>
      <c r="Q68" s="74">
        <f t="shared" si="4"/>
        <v>0</v>
      </c>
      <c r="R68" s="75" t="str">
        <f>VLOOKUP(H68,'3-Productie normen'!A:L,12,FALSE)</f>
        <v>V</v>
      </c>
      <c r="S68" s="75"/>
      <c r="U68" s="41">
        <f t="shared" si="5"/>
        <v>9236</v>
      </c>
    </row>
    <row r="69" spans="1:21" ht="14.1" customHeight="1">
      <c r="A69" s="54">
        <f t="shared" si="6"/>
        <v>69</v>
      </c>
      <c r="B69" s="70" t="s">
        <v>395</v>
      </c>
      <c r="C69" s="70"/>
      <c r="D69" s="416" t="s">
        <v>396</v>
      </c>
      <c r="E69" s="416" t="s">
        <v>89</v>
      </c>
      <c r="F69" s="71">
        <v>6</v>
      </c>
      <c r="G69" s="40" t="s">
        <v>247</v>
      </c>
      <c r="H69" s="40" t="s">
        <v>90</v>
      </c>
      <c r="I69" s="40" t="s">
        <v>227</v>
      </c>
      <c r="J69" s="460">
        <v>11.35</v>
      </c>
      <c r="K69" s="371">
        <f t="shared" si="1"/>
        <v>200</v>
      </c>
      <c r="L69" s="72">
        <v>200</v>
      </c>
      <c r="M69" s="72"/>
      <c r="N69" s="73" t="e">
        <f t="shared" si="2"/>
        <v>#DIV/0!</v>
      </c>
      <c r="O69" s="73">
        <f t="shared" si="3"/>
        <v>0</v>
      </c>
      <c r="P69" s="74">
        <f>IF(L69="nio",0,IF(L69&gt;0,VLOOKUP(H69,'3-Productie normen'!A:J,VLOOKUP(L69,'3-Productie normen'!$B$33:$C$38,2,FALSE),FALSE)))/VLOOKUP(B69,'2-Kosten per locatie'!$A$12:$C$23,3,FALSE)</f>
        <v>0</v>
      </c>
      <c r="Q69" s="74">
        <f t="shared" si="4"/>
        <v>0</v>
      </c>
      <c r="R69" s="75" t="str">
        <f>VLOOKUP(H69,'3-Productie normen'!A:L,12,FALSE)</f>
        <v>V</v>
      </c>
      <c r="S69" s="75"/>
      <c r="U69" s="41">
        <f t="shared" si="5"/>
        <v>2270</v>
      </c>
    </row>
    <row r="70" spans="1:21" ht="14.1" customHeight="1">
      <c r="A70" s="54">
        <f t="shared" si="6"/>
        <v>70</v>
      </c>
      <c r="B70" s="70" t="s">
        <v>395</v>
      </c>
      <c r="C70" s="70"/>
      <c r="D70" s="416" t="s">
        <v>396</v>
      </c>
      <c r="E70" s="416" t="s">
        <v>89</v>
      </c>
      <c r="F70" s="71">
        <v>1</v>
      </c>
      <c r="G70" s="40" t="s">
        <v>249</v>
      </c>
      <c r="H70" s="40" t="s">
        <v>231</v>
      </c>
      <c r="I70" s="40" t="s">
        <v>225</v>
      </c>
      <c r="J70" s="460">
        <v>27.36</v>
      </c>
      <c r="K70" s="371">
        <f t="shared" si="1"/>
        <v>200</v>
      </c>
      <c r="L70" s="72">
        <v>200</v>
      </c>
      <c r="M70" s="72"/>
      <c r="N70" s="73" t="e">
        <f t="shared" si="2"/>
        <v>#DIV/0!</v>
      </c>
      <c r="O70" s="73">
        <f t="shared" si="3"/>
        <v>0</v>
      </c>
      <c r="P70" s="74">
        <f>IF(L70="nio",0,IF(L70&gt;0,VLOOKUP(H70,'3-Productie normen'!A:J,VLOOKUP(L70,'3-Productie normen'!$B$33:$C$38,2,FALSE),FALSE)))/VLOOKUP(B70,'2-Kosten per locatie'!$A$12:$C$23,3,FALSE)</f>
        <v>0</v>
      </c>
      <c r="Q70" s="74">
        <f t="shared" si="4"/>
        <v>0</v>
      </c>
      <c r="R70" s="75" t="str">
        <f>VLOOKUP(H70,'3-Productie normen'!A:L,12,FALSE)</f>
        <v>L</v>
      </c>
      <c r="S70" s="75"/>
      <c r="U70" s="41">
        <f t="shared" si="5"/>
        <v>5472</v>
      </c>
    </row>
    <row r="71" spans="1:21" ht="14.1" customHeight="1">
      <c r="A71" s="54">
        <f t="shared" si="6"/>
        <v>71</v>
      </c>
      <c r="B71" s="70" t="s">
        <v>395</v>
      </c>
      <c r="C71" s="70"/>
      <c r="D71" s="416" t="s">
        <v>396</v>
      </c>
      <c r="E71" s="416" t="s">
        <v>89</v>
      </c>
      <c r="F71" s="71">
        <v>4</v>
      </c>
      <c r="G71" s="40" t="s">
        <v>249</v>
      </c>
      <c r="H71" s="40" t="s">
        <v>231</v>
      </c>
      <c r="I71" s="40" t="s">
        <v>225</v>
      </c>
      <c r="J71" s="460">
        <v>53.33</v>
      </c>
      <c r="K71" s="371">
        <f t="shared" si="1"/>
        <v>200</v>
      </c>
      <c r="L71" s="72">
        <v>200</v>
      </c>
      <c r="M71" s="72"/>
      <c r="N71" s="73" t="e">
        <f t="shared" si="2"/>
        <v>#DIV/0!</v>
      </c>
      <c r="O71" s="73">
        <f t="shared" si="3"/>
        <v>0</v>
      </c>
      <c r="P71" s="74">
        <f>IF(L71="nio",0,IF(L71&gt;0,VLOOKUP(H71,'3-Productie normen'!A:J,VLOOKUP(L71,'3-Productie normen'!$B$33:$C$38,2,FALSE),FALSE)))/VLOOKUP(B71,'2-Kosten per locatie'!$A$12:$C$23,3,FALSE)</f>
        <v>0</v>
      </c>
      <c r="Q71" s="74">
        <f t="shared" si="4"/>
        <v>0</v>
      </c>
      <c r="R71" s="75" t="str">
        <f>VLOOKUP(H71,'3-Productie normen'!A:L,12,FALSE)</f>
        <v>L</v>
      </c>
      <c r="S71" s="75"/>
      <c r="U71" s="41">
        <f t="shared" si="5"/>
        <v>10666</v>
      </c>
    </row>
    <row r="72" spans="1:21" ht="14.1" customHeight="1">
      <c r="A72" s="54">
        <f t="shared" si="6"/>
        <v>72</v>
      </c>
      <c r="B72" s="70" t="s">
        <v>395</v>
      </c>
      <c r="C72" s="70"/>
      <c r="D72" s="416" t="s">
        <v>396</v>
      </c>
      <c r="E72" s="416" t="s">
        <v>89</v>
      </c>
      <c r="F72" s="71">
        <v>14</v>
      </c>
      <c r="G72" s="40" t="s">
        <v>1</v>
      </c>
      <c r="H72" s="40" t="s">
        <v>1</v>
      </c>
      <c r="I72" s="40" t="s">
        <v>250</v>
      </c>
      <c r="J72" s="460">
        <v>20.46</v>
      </c>
      <c r="K72" s="371">
        <f t="shared" si="1"/>
        <v>200</v>
      </c>
      <c r="L72" s="72">
        <v>200</v>
      </c>
      <c r="M72" s="72"/>
      <c r="N72" s="73" t="e">
        <f t="shared" si="2"/>
        <v>#DIV/0!</v>
      </c>
      <c r="O72" s="73">
        <f t="shared" si="3"/>
        <v>0</v>
      </c>
      <c r="P72" s="74">
        <f>IF(L72="nio",0,IF(L72&gt;0,VLOOKUP(H72,'3-Productie normen'!A:J,VLOOKUP(L72,'3-Productie normen'!$B$33:$C$38,2,FALSE),FALSE)))/VLOOKUP(B72,'2-Kosten per locatie'!$A$12:$C$23,3,FALSE)</f>
        <v>0</v>
      </c>
      <c r="Q72" s="74">
        <f t="shared" si="4"/>
        <v>0</v>
      </c>
      <c r="R72" s="75" t="str">
        <f>VLOOKUP(H72,'3-Productie normen'!A:L,12,FALSE)</f>
        <v>V</v>
      </c>
      <c r="S72" s="75"/>
      <c r="U72" s="41">
        <f t="shared" si="5"/>
        <v>4092</v>
      </c>
    </row>
    <row r="73" spans="1:21" ht="14.1" customHeight="1">
      <c r="A73" s="54">
        <f t="shared" si="6"/>
        <v>73</v>
      </c>
      <c r="B73" s="70" t="s">
        <v>395</v>
      </c>
      <c r="C73" s="70"/>
      <c r="D73" s="416" t="s">
        <v>396</v>
      </c>
      <c r="E73" s="416" t="s">
        <v>89</v>
      </c>
      <c r="F73" s="71">
        <v>16</v>
      </c>
      <c r="G73" s="40" t="s">
        <v>1</v>
      </c>
      <c r="H73" s="40" t="s">
        <v>1</v>
      </c>
      <c r="I73" s="40" t="s">
        <v>250</v>
      </c>
      <c r="J73" s="460">
        <v>20.46</v>
      </c>
      <c r="K73" s="371">
        <f t="shared" si="1"/>
        <v>200</v>
      </c>
      <c r="L73" s="72">
        <v>200</v>
      </c>
      <c r="M73" s="72"/>
      <c r="N73" s="73" t="e">
        <f t="shared" si="2"/>
        <v>#DIV/0!</v>
      </c>
      <c r="O73" s="73">
        <f t="shared" si="3"/>
        <v>0</v>
      </c>
      <c r="P73" s="74">
        <f>IF(L73="nio",0,IF(L73&gt;0,VLOOKUP(H73,'3-Productie normen'!A:J,VLOOKUP(L73,'3-Productie normen'!$B$33:$C$38,2,FALSE),FALSE)))/VLOOKUP(B73,'2-Kosten per locatie'!$A$12:$C$23,3,FALSE)</f>
        <v>0</v>
      </c>
      <c r="Q73" s="74">
        <f t="shared" si="4"/>
        <v>0</v>
      </c>
      <c r="R73" s="75" t="str">
        <f>VLOOKUP(H73,'3-Productie normen'!A:L,12,FALSE)</f>
        <v>V</v>
      </c>
      <c r="S73" s="75"/>
      <c r="U73" s="41">
        <f t="shared" si="5"/>
        <v>4092</v>
      </c>
    </row>
    <row r="74" spans="1:21" ht="14.1" customHeight="1">
      <c r="A74" s="54">
        <f t="shared" si="6"/>
        <v>74</v>
      </c>
      <c r="B74" s="70" t="s">
        <v>395</v>
      </c>
      <c r="C74" s="70"/>
      <c r="D74" s="416" t="s">
        <v>396</v>
      </c>
      <c r="E74" s="416">
        <v>2</v>
      </c>
      <c r="F74" s="71">
        <v>30</v>
      </c>
      <c r="G74" s="40" t="s">
        <v>240</v>
      </c>
      <c r="H74" s="40" t="s">
        <v>240</v>
      </c>
      <c r="I74" s="40" t="s">
        <v>225</v>
      </c>
      <c r="J74" s="460">
        <v>51.69</v>
      </c>
      <c r="K74" s="371">
        <f t="shared" ref="K74:K137" si="7">SUM(L74:M74)</f>
        <v>200</v>
      </c>
      <c r="L74" s="72">
        <v>200</v>
      </c>
      <c r="M74" s="72"/>
      <c r="N74" s="73" t="e">
        <f t="shared" ref="N74:N137" si="8">IF(L74="nio",0,IF(L74&gt;0,L74*J74/P74,0))</f>
        <v>#DIV/0!</v>
      </c>
      <c r="O74" s="73">
        <f t="shared" ref="O74:O137" si="9">IF(M74&gt;0,M74*J74/Q74,0)</f>
        <v>0</v>
      </c>
      <c r="P74" s="74">
        <f>IF(L74="nio",0,IF(L74&gt;0,VLOOKUP(H74,'3-Productie normen'!A:J,VLOOKUP(L74,'3-Productie normen'!$B$33:$C$38,2,FALSE),FALSE)))/VLOOKUP(B74,'2-Kosten per locatie'!$A$12:$C$23,3,FALSE)</f>
        <v>0</v>
      </c>
      <c r="Q74" s="74">
        <f t="shared" ref="Q74:Q137" si="10">IF(M74&gt;0,P74*$Q$8,0)</f>
        <v>0</v>
      </c>
      <c r="R74" s="75" t="str">
        <f>VLOOKUP(H74,'3-Productie normen'!A:L,12,FALSE)</f>
        <v>V</v>
      </c>
      <c r="S74" s="75"/>
      <c r="U74" s="41">
        <f t="shared" ref="U74:U137" si="11">K74*J74</f>
        <v>10338</v>
      </c>
    </row>
    <row r="75" spans="1:21" ht="14.1" customHeight="1">
      <c r="A75" s="54">
        <f t="shared" si="6"/>
        <v>75</v>
      </c>
      <c r="B75" s="70" t="s">
        <v>395</v>
      </c>
      <c r="C75" s="70"/>
      <c r="D75" s="416" t="s">
        <v>396</v>
      </c>
      <c r="E75" s="416">
        <v>2</v>
      </c>
      <c r="F75" s="71">
        <v>31</v>
      </c>
      <c r="G75" s="40" t="s">
        <v>240</v>
      </c>
      <c r="H75" s="40" t="s">
        <v>240</v>
      </c>
      <c r="I75" s="40" t="s">
        <v>225</v>
      </c>
      <c r="J75" s="460">
        <v>51.69</v>
      </c>
      <c r="K75" s="371">
        <f t="shared" si="7"/>
        <v>200</v>
      </c>
      <c r="L75" s="72">
        <v>200</v>
      </c>
      <c r="M75" s="72"/>
      <c r="N75" s="73" t="e">
        <f t="shared" si="8"/>
        <v>#DIV/0!</v>
      </c>
      <c r="O75" s="73">
        <f t="shared" si="9"/>
        <v>0</v>
      </c>
      <c r="P75" s="74">
        <f>IF(L75="nio",0,IF(L75&gt;0,VLOOKUP(H75,'3-Productie normen'!A:J,VLOOKUP(L75,'3-Productie normen'!$B$33:$C$38,2,FALSE),FALSE)))/VLOOKUP(B75,'2-Kosten per locatie'!$A$12:$C$23,3,FALSE)</f>
        <v>0</v>
      </c>
      <c r="Q75" s="74">
        <f t="shared" si="10"/>
        <v>0</v>
      </c>
      <c r="R75" s="75" t="str">
        <f>VLOOKUP(H75,'3-Productie normen'!A:L,12,FALSE)</f>
        <v>V</v>
      </c>
      <c r="S75" s="75"/>
      <c r="U75" s="41">
        <f t="shared" si="11"/>
        <v>10338</v>
      </c>
    </row>
    <row r="76" spans="1:21" ht="14.1" customHeight="1">
      <c r="A76" s="54">
        <f t="shared" si="6"/>
        <v>76</v>
      </c>
      <c r="B76" s="70" t="s">
        <v>395</v>
      </c>
      <c r="C76" s="70"/>
      <c r="D76" s="416" t="s">
        <v>396</v>
      </c>
      <c r="E76" s="416">
        <v>2</v>
      </c>
      <c r="F76" s="71">
        <v>36</v>
      </c>
      <c r="G76" s="40" t="s">
        <v>240</v>
      </c>
      <c r="H76" s="40" t="s">
        <v>240</v>
      </c>
      <c r="I76" s="40" t="s">
        <v>225</v>
      </c>
      <c r="J76" s="460">
        <v>65</v>
      </c>
      <c r="K76" s="371">
        <f t="shared" si="7"/>
        <v>200</v>
      </c>
      <c r="L76" s="72">
        <v>200</v>
      </c>
      <c r="M76" s="72"/>
      <c r="N76" s="73" t="e">
        <f t="shared" si="8"/>
        <v>#DIV/0!</v>
      </c>
      <c r="O76" s="73">
        <f t="shared" si="9"/>
        <v>0</v>
      </c>
      <c r="P76" s="74">
        <f>IF(L76="nio",0,IF(L76&gt;0,VLOOKUP(H76,'3-Productie normen'!A:J,VLOOKUP(L76,'3-Productie normen'!$B$33:$C$38,2,FALSE),FALSE)))/VLOOKUP(B76,'2-Kosten per locatie'!$A$12:$C$23,3,FALSE)</f>
        <v>0</v>
      </c>
      <c r="Q76" s="74">
        <f t="shared" si="10"/>
        <v>0</v>
      </c>
      <c r="R76" s="75" t="str">
        <f>VLOOKUP(H76,'3-Productie normen'!A:L,12,FALSE)</f>
        <v>V</v>
      </c>
      <c r="S76" s="75"/>
      <c r="U76" s="41">
        <f t="shared" si="11"/>
        <v>13000</v>
      </c>
    </row>
    <row r="77" spans="1:21" ht="14.1" customHeight="1">
      <c r="A77" s="54">
        <f t="shared" si="6"/>
        <v>77</v>
      </c>
      <c r="B77" s="70" t="s">
        <v>395</v>
      </c>
      <c r="C77" s="70"/>
      <c r="D77" s="416" t="s">
        <v>396</v>
      </c>
      <c r="E77" s="416">
        <v>3</v>
      </c>
      <c r="F77" s="71">
        <v>42</v>
      </c>
      <c r="G77" s="40" t="s">
        <v>240</v>
      </c>
      <c r="H77" s="40" t="s">
        <v>240</v>
      </c>
      <c r="I77" s="40" t="s">
        <v>225</v>
      </c>
      <c r="J77" s="460">
        <v>51.69</v>
      </c>
      <c r="K77" s="371">
        <f t="shared" si="7"/>
        <v>200</v>
      </c>
      <c r="L77" s="72">
        <v>200</v>
      </c>
      <c r="M77" s="72"/>
      <c r="N77" s="73" t="e">
        <f t="shared" si="8"/>
        <v>#DIV/0!</v>
      </c>
      <c r="O77" s="73">
        <f t="shared" si="9"/>
        <v>0</v>
      </c>
      <c r="P77" s="74">
        <f>IF(L77="nio",0,IF(L77&gt;0,VLOOKUP(H77,'3-Productie normen'!A:J,VLOOKUP(L77,'3-Productie normen'!$B$33:$C$38,2,FALSE),FALSE)))/VLOOKUP(B77,'2-Kosten per locatie'!$A$12:$C$23,3,FALSE)</f>
        <v>0</v>
      </c>
      <c r="Q77" s="74">
        <f t="shared" si="10"/>
        <v>0</v>
      </c>
      <c r="R77" s="75" t="str">
        <f>VLOOKUP(H77,'3-Productie normen'!A:L,12,FALSE)</f>
        <v>V</v>
      </c>
      <c r="S77" s="75"/>
      <c r="U77" s="41">
        <f t="shared" si="11"/>
        <v>10338</v>
      </c>
    </row>
    <row r="78" spans="1:21" ht="14.1" customHeight="1">
      <c r="A78" s="54">
        <f t="shared" si="6"/>
        <v>78</v>
      </c>
      <c r="B78" s="70" t="s">
        <v>395</v>
      </c>
      <c r="C78" s="70"/>
      <c r="D78" s="416" t="s">
        <v>396</v>
      </c>
      <c r="E78" s="416">
        <v>3</v>
      </c>
      <c r="F78" s="71">
        <v>43</v>
      </c>
      <c r="G78" s="40" t="s">
        <v>240</v>
      </c>
      <c r="H78" s="40" t="s">
        <v>240</v>
      </c>
      <c r="I78" s="40" t="s">
        <v>225</v>
      </c>
      <c r="J78" s="460">
        <v>51.69</v>
      </c>
      <c r="K78" s="371">
        <f t="shared" si="7"/>
        <v>200</v>
      </c>
      <c r="L78" s="72">
        <v>200</v>
      </c>
      <c r="M78" s="72"/>
      <c r="N78" s="73" t="e">
        <f t="shared" si="8"/>
        <v>#DIV/0!</v>
      </c>
      <c r="O78" s="73">
        <f t="shared" si="9"/>
        <v>0</v>
      </c>
      <c r="P78" s="74">
        <f>IF(L78="nio",0,IF(L78&gt;0,VLOOKUP(H78,'3-Productie normen'!A:J,VLOOKUP(L78,'3-Productie normen'!$B$33:$C$38,2,FALSE),FALSE)))/VLOOKUP(B78,'2-Kosten per locatie'!$A$12:$C$23,3,FALSE)</f>
        <v>0</v>
      </c>
      <c r="Q78" s="74">
        <f t="shared" si="10"/>
        <v>0</v>
      </c>
      <c r="R78" s="75" t="str">
        <f>VLOOKUP(H78,'3-Productie normen'!A:L,12,FALSE)</f>
        <v>V</v>
      </c>
      <c r="S78" s="75"/>
      <c r="U78" s="41">
        <f t="shared" si="11"/>
        <v>10338</v>
      </c>
    </row>
    <row r="79" spans="1:21" ht="14.1" customHeight="1">
      <c r="A79" s="54">
        <f t="shared" si="6"/>
        <v>79</v>
      </c>
      <c r="B79" s="70" t="s">
        <v>395</v>
      </c>
      <c r="C79" s="70"/>
      <c r="D79" s="416" t="s">
        <v>396</v>
      </c>
      <c r="E79" s="416">
        <v>3</v>
      </c>
      <c r="F79" s="71">
        <v>46</v>
      </c>
      <c r="G79" s="40" t="s">
        <v>240</v>
      </c>
      <c r="H79" s="40" t="s">
        <v>240</v>
      </c>
      <c r="I79" s="40" t="s">
        <v>225</v>
      </c>
      <c r="J79" s="460">
        <v>37.479999999999997</v>
      </c>
      <c r="K79" s="371">
        <f t="shared" si="7"/>
        <v>200</v>
      </c>
      <c r="L79" s="72">
        <v>200</v>
      </c>
      <c r="M79" s="72"/>
      <c r="N79" s="73" t="e">
        <f t="shared" si="8"/>
        <v>#DIV/0!</v>
      </c>
      <c r="O79" s="73">
        <f t="shared" si="9"/>
        <v>0</v>
      </c>
      <c r="P79" s="74">
        <f>IF(L79="nio",0,IF(L79&gt;0,VLOOKUP(H79,'3-Productie normen'!A:J,VLOOKUP(L79,'3-Productie normen'!$B$33:$C$38,2,FALSE),FALSE)))/VLOOKUP(B79,'2-Kosten per locatie'!$A$12:$C$23,3,FALSE)</f>
        <v>0</v>
      </c>
      <c r="Q79" s="74">
        <f t="shared" si="10"/>
        <v>0</v>
      </c>
      <c r="R79" s="75" t="str">
        <f>VLOOKUP(H79,'3-Productie normen'!A:L,12,FALSE)</f>
        <v>V</v>
      </c>
      <c r="S79" s="75"/>
      <c r="U79" s="41">
        <f t="shared" si="11"/>
        <v>7495.9999999999991</v>
      </c>
    </row>
    <row r="80" spans="1:21" ht="14.1" customHeight="1">
      <c r="A80" s="54">
        <f t="shared" si="6"/>
        <v>80</v>
      </c>
      <c r="B80" s="70" t="s">
        <v>395</v>
      </c>
      <c r="C80" s="70"/>
      <c r="D80" s="416" t="s">
        <v>396</v>
      </c>
      <c r="E80" s="416" t="s">
        <v>89</v>
      </c>
      <c r="F80" s="71">
        <v>10</v>
      </c>
      <c r="G80" s="40" t="s">
        <v>233</v>
      </c>
      <c r="H80" s="40" t="s">
        <v>233</v>
      </c>
      <c r="I80" s="40" t="s">
        <v>225</v>
      </c>
      <c r="J80" s="460">
        <v>51.75</v>
      </c>
      <c r="K80" s="371">
        <f t="shared" si="7"/>
        <v>200</v>
      </c>
      <c r="L80" s="72">
        <v>200</v>
      </c>
      <c r="M80" s="72"/>
      <c r="N80" s="73" t="e">
        <f t="shared" si="8"/>
        <v>#DIV/0!</v>
      </c>
      <c r="O80" s="73">
        <f t="shared" si="9"/>
        <v>0</v>
      </c>
      <c r="P80" s="74">
        <f>IF(L80="nio",0,IF(L80&gt;0,VLOOKUP(H80,'3-Productie normen'!A:J,VLOOKUP(L80,'3-Productie normen'!$B$33:$C$38,2,FALSE),FALSE)))/VLOOKUP(B80,'2-Kosten per locatie'!$A$12:$C$23,3,FALSE)</f>
        <v>0</v>
      </c>
      <c r="Q80" s="74">
        <f t="shared" si="10"/>
        <v>0</v>
      </c>
      <c r="R80" s="75" t="str">
        <f>VLOOKUP(H80,'3-Productie normen'!A:L,12,FALSE)</f>
        <v>L</v>
      </c>
      <c r="S80" s="75"/>
      <c r="U80" s="41">
        <f t="shared" si="11"/>
        <v>10350</v>
      </c>
    </row>
    <row r="81" spans="1:21" ht="14.1" customHeight="1">
      <c r="A81" s="54">
        <f t="shared" si="6"/>
        <v>81</v>
      </c>
      <c r="B81" s="70" t="s">
        <v>395</v>
      </c>
      <c r="C81" s="70"/>
      <c r="D81" s="416" t="s">
        <v>396</v>
      </c>
      <c r="E81" s="416" t="s">
        <v>89</v>
      </c>
      <c r="F81" s="71">
        <v>11</v>
      </c>
      <c r="G81" s="40" t="s">
        <v>233</v>
      </c>
      <c r="H81" s="40" t="s">
        <v>233</v>
      </c>
      <c r="I81" s="40" t="s">
        <v>225</v>
      </c>
      <c r="J81" s="460">
        <v>51.75</v>
      </c>
      <c r="K81" s="371">
        <f t="shared" si="7"/>
        <v>200</v>
      </c>
      <c r="L81" s="72">
        <v>200</v>
      </c>
      <c r="M81" s="72"/>
      <c r="N81" s="73" t="e">
        <f t="shared" si="8"/>
        <v>#DIV/0!</v>
      </c>
      <c r="O81" s="73">
        <f t="shared" si="9"/>
        <v>0</v>
      </c>
      <c r="P81" s="74">
        <f>IF(L81="nio",0,IF(L81&gt;0,VLOOKUP(H81,'3-Productie normen'!A:J,VLOOKUP(L81,'3-Productie normen'!$B$33:$C$38,2,FALSE),FALSE)))/VLOOKUP(B81,'2-Kosten per locatie'!$A$12:$C$23,3,FALSE)</f>
        <v>0</v>
      </c>
      <c r="Q81" s="74">
        <f t="shared" si="10"/>
        <v>0</v>
      </c>
      <c r="R81" s="75" t="str">
        <f>VLOOKUP(H81,'3-Productie normen'!A:L,12,FALSE)</f>
        <v>L</v>
      </c>
      <c r="S81" s="75"/>
      <c r="U81" s="41">
        <f t="shared" si="11"/>
        <v>10350</v>
      </c>
    </row>
    <row r="82" spans="1:21" ht="14.1" customHeight="1">
      <c r="A82" s="54">
        <f t="shared" si="6"/>
        <v>82</v>
      </c>
      <c r="B82" s="70" t="s">
        <v>395</v>
      </c>
      <c r="C82" s="70"/>
      <c r="D82" s="416" t="s">
        <v>396</v>
      </c>
      <c r="E82" s="416">
        <v>1</v>
      </c>
      <c r="F82" s="71">
        <v>21</v>
      </c>
      <c r="G82" s="40" t="s">
        <v>233</v>
      </c>
      <c r="H82" s="40" t="s">
        <v>233</v>
      </c>
      <c r="I82" s="40" t="s">
        <v>225</v>
      </c>
      <c r="J82" s="460">
        <v>57.75</v>
      </c>
      <c r="K82" s="371">
        <f t="shared" si="7"/>
        <v>200</v>
      </c>
      <c r="L82" s="72">
        <v>200</v>
      </c>
      <c r="M82" s="72"/>
      <c r="N82" s="73" t="e">
        <f t="shared" si="8"/>
        <v>#DIV/0!</v>
      </c>
      <c r="O82" s="73">
        <f t="shared" si="9"/>
        <v>0</v>
      </c>
      <c r="P82" s="74">
        <f>IF(L82="nio",0,IF(L82&gt;0,VLOOKUP(H82,'3-Productie normen'!A:J,VLOOKUP(L82,'3-Productie normen'!$B$33:$C$38,2,FALSE),FALSE)))/VLOOKUP(B82,'2-Kosten per locatie'!$A$12:$C$23,3,FALSE)</f>
        <v>0</v>
      </c>
      <c r="Q82" s="74">
        <f t="shared" si="10"/>
        <v>0</v>
      </c>
      <c r="R82" s="75" t="str">
        <f>VLOOKUP(H82,'3-Productie normen'!A:L,12,FALSE)</f>
        <v>L</v>
      </c>
      <c r="S82" s="75"/>
      <c r="U82" s="41">
        <f t="shared" si="11"/>
        <v>11550</v>
      </c>
    </row>
    <row r="83" spans="1:21" ht="14.1" customHeight="1">
      <c r="A83" s="54">
        <f t="shared" si="6"/>
        <v>83</v>
      </c>
      <c r="B83" s="70" t="s">
        <v>395</v>
      </c>
      <c r="C83" s="70"/>
      <c r="D83" s="416" t="s">
        <v>396</v>
      </c>
      <c r="E83" s="416">
        <v>1</v>
      </c>
      <c r="F83" s="71">
        <v>22</v>
      </c>
      <c r="G83" s="40" t="s">
        <v>233</v>
      </c>
      <c r="H83" s="40" t="s">
        <v>233</v>
      </c>
      <c r="I83" s="40" t="s">
        <v>225</v>
      </c>
      <c r="J83" s="460">
        <v>57.75</v>
      </c>
      <c r="K83" s="371">
        <f t="shared" si="7"/>
        <v>200</v>
      </c>
      <c r="L83" s="72">
        <v>200</v>
      </c>
      <c r="M83" s="72"/>
      <c r="N83" s="73" t="e">
        <f t="shared" si="8"/>
        <v>#DIV/0!</v>
      </c>
      <c r="O83" s="73">
        <f t="shared" si="9"/>
        <v>0</v>
      </c>
      <c r="P83" s="74">
        <f>IF(L83="nio",0,IF(L83&gt;0,VLOOKUP(H83,'3-Productie normen'!A:J,VLOOKUP(L83,'3-Productie normen'!$B$33:$C$38,2,FALSE),FALSE)))/VLOOKUP(B83,'2-Kosten per locatie'!$A$12:$C$23,3,FALSE)</f>
        <v>0</v>
      </c>
      <c r="Q83" s="74">
        <f t="shared" si="10"/>
        <v>0</v>
      </c>
      <c r="R83" s="75" t="str">
        <f>VLOOKUP(H83,'3-Productie normen'!A:L,12,FALSE)</f>
        <v>L</v>
      </c>
      <c r="S83" s="75"/>
      <c r="U83" s="41">
        <f t="shared" si="11"/>
        <v>11550</v>
      </c>
    </row>
    <row r="84" spans="1:21" ht="14.1" customHeight="1">
      <c r="A84" s="54">
        <f t="shared" si="6"/>
        <v>84</v>
      </c>
      <c r="B84" s="70" t="s">
        <v>395</v>
      </c>
      <c r="C84" s="70"/>
      <c r="D84" s="416" t="s">
        <v>396</v>
      </c>
      <c r="E84" s="416">
        <v>1</v>
      </c>
      <c r="F84" s="71">
        <v>26</v>
      </c>
      <c r="G84" s="40" t="s">
        <v>233</v>
      </c>
      <c r="H84" s="40" t="s">
        <v>233</v>
      </c>
      <c r="I84" s="40" t="s">
        <v>225</v>
      </c>
      <c r="J84" s="460">
        <v>62.58</v>
      </c>
      <c r="K84" s="371">
        <f t="shared" si="7"/>
        <v>200</v>
      </c>
      <c r="L84" s="72">
        <v>200</v>
      </c>
      <c r="M84" s="72"/>
      <c r="N84" s="73" t="e">
        <f t="shared" si="8"/>
        <v>#DIV/0!</v>
      </c>
      <c r="O84" s="73">
        <f t="shared" si="9"/>
        <v>0</v>
      </c>
      <c r="P84" s="74">
        <f>IF(L84="nio",0,IF(L84&gt;0,VLOOKUP(H84,'3-Productie normen'!A:J,VLOOKUP(L84,'3-Productie normen'!$B$33:$C$38,2,FALSE),FALSE)))/VLOOKUP(B84,'2-Kosten per locatie'!$A$12:$C$23,3,FALSE)</f>
        <v>0</v>
      </c>
      <c r="Q84" s="74">
        <f t="shared" si="10"/>
        <v>0</v>
      </c>
      <c r="R84" s="75" t="str">
        <f>VLOOKUP(H84,'3-Productie normen'!A:L,12,FALSE)</f>
        <v>L</v>
      </c>
      <c r="S84" s="75"/>
      <c r="U84" s="41">
        <f t="shared" si="11"/>
        <v>12516</v>
      </c>
    </row>
    <row r="85" spans="1:21" ht="14.1" customHeight="1">
      <c r="A85" s="54">
        <f t="shared" si="6"/>
        <v>85</v>
      </c>
      <c r="B85" s="70" t="s">
        <v>395</v>
      </c>
      <c r="C85" s="70"/>
      <c r="D85" s="416" t="s">
        <v>396</v>
      </c>
      <c r="E85" s="416"/>
      <c r="F85" s="71" t="s">
        <v>385</v>
      </c>
      <c r="G85" s="40" t="s">
        <v>230</v>
      </c>
      <c r="H85" s="40" t="s">
        <v>230</v>
      </c>
      <c r="I85" s="40" t="s">
        <v>225</v>
      </c>
      <c r="J85" s="460">
        <v>71.13</v>
      </c>
      <c r="K85" s="371">
        <f t="shared" si="7"/>
        <v>200</v>
      </c>
      <c r="L85" s="72">
        <v>200</v>
      </c>
      <c r="M85" s="72"/>
      <c r="N85" s="73" t="e">
        <f t="shared" si="8"/>
        <v>#DIV/0!</v>
      </c>
      <c r="O85" s="73">
        <f t="shared" si="9"/>
        <v>0</v>
      </c>
      <c r="P85" s="74">
        <f>IF(L85="nio",0,IF(L85&gt;0,VLOOKUP(H85,'3-Productie normen'!A:J,VLOOKUP(L85,'3-Productie normen'!$B$33:$C$38,2,FALSE),FALSE)))/VLOOKUP(B85,'2-Kosten per locatie'!$A$12:$C$23,3,FALSE)</f>
        <v>0</v>
      </c>
      <c r="Q85" s="74">
        <f t="shared" si="10"/>
        <v>0</v>
      </c>
      <c r="R85" s="75" t="str">
        <f>VLOOKUP(H85,'3-Productie normen'!A:L,12,FALSE)</f>
        <v>S</v>
      </c>
      <c r="S85" s="75"/>
      <c r="U85" s="41">
        <f t="shared" si="11"/>
        <v>14226</v>
      </c>
    </row>
    <row r="86" spans="1:21" ht="14.1" customHeight="1">
      <c r="A86" s="54">
        <f t="shared" si="6"/>
        <v>86</v>
      </c>
      <c r="B86" s="70" t="s">
        <v>395</v>
      </c>
      <c r="C86" s="70"/>
      <c r="D86" s="416" t="s">
        <v>396</v>
      </c>
      <c r="E86" s="416" t="s">
        <v>89</v>
      </c>
      <c r="F86" s="71">
        <v>5</v>
      </c>
      <c r="G86" s="40" t="s">
        <v>17</v>
      </c>
      <c r="H86" s="40" t="s">
        <v>17</v>
      </c>
      <c r="I86" s="40" t="s">
        <v>250</v>
      </c>
      <c r="J86" s="460">
        <v>5.33</v>
      </c>
      <c r="K86" s="371">
        <f t="shared" si="7"/>
        <v>200</v>
      </c>
      <c r="L86" s="72">
        <v>200</v>
      </c>
      <c r="M86" s="72"/>
      <c r="N86" s="73" t="e">
        <f t="shared" si="8"/>
        <v>#DIV/0!</v>
      </c>
      <c r="O86" s="73">
        <f t="shared" si="9"/>
        <v>0</v>
      </c>
      <c r="P86" s="74">
        <f>IF(L86="nio",0,IF(L86&gt;0,VLOOKUP(H86,'3-Productie normen'!A:J,VLOOKUP(L86,'3-Productie normen'!$B$33:$C$38,2,FALSE),FALSE)))/VLOOKUP(B86,'2-Kosten per locatie'!$A$12:$C$23,3,FALSE)</f>
        <v>0</v>
      </c>
      <c r="Q86" s="74">
        <f t="shared" si="10"/>
        <v>0</v>
      </c>
      <c r="R86" s="75" t="str">
        <f>VLOOKUP(H86,'3-Productie normen'!A:L,12,FALSE)</f>
        <v>S</v>
      </c>
      <c r="S86" s="75"/>
      <c r="U86" s="41">
        <f t="shared" si="11"/>
        <v>1066</v>
      </c>
    </row>
    <row r="87" spans="1:21" ht="14.1" customHeight="1">
      <c r="A87" s="54">
        <f t="shared" si="6"/>
        <v>87</v>
      </c>
      <c r="B87" s="70" t="s">
        <v>395</v>
      </c>
      <c r="C87" s="70"/>
      <c r="D87" s="416" t="s">
        <v>396</v>
      </c>
      <c r="E87" s="416" t="s">
        <v>89</v>
      </c>
      <c r="F87" s="71" t="s">
        <v>386</v>
      </c>
      <c r="G87" s="40" t="s">
        <v>17</v>
      </c>
      <c r="H87" s="40" t="s">
        <v>17</v>
      </c>
      <c r="I87" s="40" t="s">
        <v>250</v>
      </c>
      <c r="J87" s="460">
        <v>7.23</v>
      </c>
      <c r="K87" s="371">
        <f t="shared" si="7"/>
        <v>200</v>
      </c>
      <c r="L87" s="72">
        <v>200</v>
      </c>
      <c r="M87" s="72"/>
      <c r="N87" s="73" t="e">
        <f t="shared" si="8"/>
        <v>#DIV/0!</v>
      </c>
      <c r="O87" s="73">
        <f t="shared" si="9"/>
        <v>0</v>
      </c>
      <c r="P87" s="74">
        <f>IF(L87="nio",0,IF(L87&gt;0,VLOOKUP(H87,'3-Productie normen'!A:J,VLOOKUP(L87,'3-Productie normen'!$B$33:$C$38,2,FALSE),FALSE)))/VLOOKUP(B87,'2-Kosten per locatie'!$A$12:$C$23,3,FALSE)</f>
        <v>0</v>
      </c>
      <c r="Q87" s="74">
        <f t="shared" si="10"/>
        <v>0</v>
      </c>
      <c r="R87" s="75" t="str">
        <f>VLOOKUP(H87,'3-Productie normen'!A:L,12,FALSE)</f>
        <v>S</v>
      </c>
      <c r="S87" s="75"/>
      <c r="U87" s="41">
        <f t="shared" si="11"/>
        <v>1446</v>
      </c>
    </row>
    <row r="88" spans="1:21" ht="14.1" customHeight="1">
      <c r="A88" s="54">
        <f t="shared" si="6"/>
        <v>88</v>
      </c>
      <c r="B88" s="70" t="s">
        <v>395</v>
      </c>
      <c r="C88" s="70"/>
      <c r="D88" s="416" t="s">
        <v>396</v>
      </c>
      <c r="E88" s="416" t="s">
        <v>89</v>
      </c>
      <c r="F88" s="71">
        <v>12</v>
      </c>
      <c r="G88" s="40" t="s">
        <v>17</v>
      </c>
      <c r="H88" s="40" t="s">
        <v>17</v>
      </c>
      <c r="I88" s="40" t="s">
        <v>250</v>
      </c>
      <c r="J88" s="460">
        <v>3.77</v>
      </c>
      <c r="K88" s="371">
        <f t="shared" si="7"/>
        <v>200</v>
      </c>
      <c r="L88" s="72">
        <v>200</v>
      </c>
      <c r="M88" s="72"/>
      <c r="N88" s="73" t="e">
        <f t="shared" si="8"/>
        <v>#DIV/0!</v>
      </c>
      <c r="O88" s="73">
        <f t="shared" si="9"/>
        <v>0</v>
      </c>
      <c r="P88" s="74">
        <f>IF(L88="nio",0,IF(L88&gt;0,VLOOKUP(H88,'3-Productie normen'!A:J,VLOOKUP(L88,'3-Productie normen'!$B$33:$C$38,2,FALSE),FALSE)))/VLOOKUP(B88,'2-Kosten per locatie'!$A$12:$C$23,3,FALSE)</f>
        <v>0</v>
      </c>
      <c r="Q88" s="74">
        <f t="shared" si="10"/>
        <v>0</v>
      </c>
      <c r="R88" s="75" t="str">
        <f>VLOOKUP(H88,'3-Productie normen'!A:L,12,FALSE)</f>
        <v>S</v>
      </c>
      <c r="S88" s="75"/>
      <c r="U88" s="41">
        <f t="shared" si="11"/>
        <v>754</v>
      </c>
    </row>
    <row r="89" spans="1:21" ht="14.1" customHeight="1">
      <c r="A89" s="54">
        <f t="shared" si="6"/>
        <v>89</v>
      </c>
      <c r="B89" s="70" t="s">
        <v>395</v>
      </c>
      <c r="C89" s="70"/>
      <c r="D89" s="416" t="s">
        <v>396</v>
      </c>
      <c r="E89" s="416" t="s">
        <v>89</v>
      </c>
      <c r="F89" s="71">
        <v>13</v>
      </c>
      <c r="G89" s="40" t="s">
        <v>17</v>
      </c>
      <c r="H89" s="40" t="s">
        <v>236</v>
      </c>
      <c r="I89" s="40" t="s">
        <v>237</v>
      </c>
      <c r="J89" s="460">
        <v>155.03</v>
      </c>
      <c r="K89" s="371">
        <f t="shared" si="7"/>
        <v>200</v>
      </c>
      <c r="L89" s="72">
        <v>200</v>
      </c>
      <c r="M89" s="72"/>
      <c r="N89" s="73" t="e">
        <f t="shared" si="8"/>
        <v>#DIV/0!</v>
      </c>
      <c r="O89" s="73">
        <f t="shared" si="9"/>
        <v>0</v>
      </c>
      <c r="P89" s="74">
        <f>IF(L89="nio",0,IF(L89&gt;0,VLOOKUP(H89,'3-Productie normen'!A:J,VLOOKUP(L89,'3-Productie normen'!$B$33:$C$38,2,FALSE),FALSE)))/VLOOKUP(B89,'2-Kosten per locatie'!$A$12:$C$23,3,FALSE)</f>
        <v>0</v>
      </c>
      <c r="Q89" s="74">
        <f t="shared" si="10"/>
        <v>0</v>
      </c>
      <c r="R89" s="75" t="str">
        <f>VLOOKUP(H89,'3-Productie normen'!A:L,12,FALSE)</f>
        <v>V</v>
      </c>
      <c r="S89" s="75"/>
      <c r="U89" s="41">
        <f t="shared" si="11"/>
        <v>31006</v>
      </c>
    </row>
    <row r="90" spans="1:21" ht="14.1" customHeight="1">
      <c r="A90" s="54">
        <f t="shared" si="6"/>
        <v>90</v>
      </c>
      <c r="B90" s="70" t="s">
        <v>395</v>
      </c>
      <c r="C90" s="70"/>
      <c r="D90" s="416" t="s">
        <v>396</v>
      </c>
      <c r="E90" s="416" t="s">
        <v>89</v>
      </c>
      <c r="F90" s="71">
        <v>15</v>
      </c>
      <c r="G90" s="40" t="s">
        <v>17</v>
      </c>
      <c r="H90" s="40" t="s">
        <v>17</v>
      </c>
      <c r="I90" s="40" t="s">
        <v>250</v>
      </c>
      <c r="J90" s="460">
        <v>2.42</v>
      </c>
      <c r="K90" s="371">
        <f t="shared" si="7"/>
        <v>200</v>
      </c>
      <c r="L90" s="72">
        <v>200</v>
      </c>
      <c r="M90" s="72"/>
      <c r="N90" s="73" t="e">
        <f t="shared" si="8"/>
        <v>#DIV/0!</v>
      </c>
      <c r="O90" s="73">
        <f t="shared" si="9"/>
        <v>0</v>
      </c>
      <c r="P90" s="74">
        <f>IF(L90="nio",0,IF(L90&gt;0,VLOOKUP(H90,'3-Productie normen'!A:J,VLOOKUP(L90,'3-Productie normen'!$B$33:$C$38,2,FALSE),FALSE)))/VLOOKUP(B90,'2-Kosten per locatie'!$A$12:$C$23,3,FALSE)</f>
        <v>0</v>
      </c>
      <c r="Q90" s="74">
        <f t="shared" si="10"/>
        <v>0</v>
      </c>
      <c r="R90" s="75" t="str">
        <f>VLOOKUP(H90,'3-Productie normen'!A:L,12,FALSE)</f>
        <v>S</v>
      </c>
      <c r="S90" s="75"/>
      <c r="U90" s="41">
        <f t="shared" si="11"/>
        <v>484</v>
      </c>
    </row>
    <row r="91" spans="1:21" ht="14.1" customHeight="1">
      <c r="A91" s="54">
        <f t="shared" si="6"/>
        <v>91</v>
      </c>
      <c r="B91" s="70" t="s">
        <v>395</v>
      </c>
      <c r="C91" s="70"/>
      <c r="D91" s="416" t="s">
        <v>396</v>
      </c>
      <c r="E91" s="416">
        <v>1</v>
      </c>
      <c r="F91" s="71">
        <v>24</v>
      </c>
      <c r="G91" s="40" t="s">
        <v>17</v>
      </c>
      <c r="H91" s="40" t="s">
        <v>17</v>
      </c>
      <c r="I91" s="40" t="s">
        <v>250</v>
      </c>
      <c r="J91" s="460">
        <v>2.83</v>
      </c>
      <c r="K91" s="371">
        <f t="shared" si="7"/>
        <v>200</v>
      </c>
      <c r="L91" s="72">
        <v>200</v>
      </c>
      <c r="M91" s="72"/>
      <c r="N91" s="73" t="e">
        <f t="shared" si="8"/>
        <v>#DIV/0!</v>
      </c>
      <c r="O91" s="73">
        <f t="shared" si="9"/>
        <v>0</v>
      </c>
      <c r="P91" s="74">
        <f>IF(L91="nio",0,IF(L91&gt;0,VLOOKUP(H91,'3-Productie normen'!A:J,VLOOKUP(L91,'3-Productie normen'!$B$33:$C$38,2,FALSE),FALSE)))/VLOOKUP(B91,'2-Kosten per locatie'!$A$12:$C$23,3,FALSE)</f>
        <v>0</v>
      </c>
      <c r="Q91" s="74">
        <f t="shared" si="10"/>
        <v>0</v>
      </c>
      <c r="R91" s="75" t="str">
        <f>VLOOKUP(H91,'3-Productie normen'!A:L,12,FALSE)</f>
        <v>S</v>
      </c>
      <c r="S91" s="75"/>
      <c r="U91" s="41">
        <f t="shared" si="11"/>
        <v>566</v>
      </c>
    </row>
    <row r="92" spans="1:21" ht="14.1" customHeight="1">
      <c r="A92" s="54">
        <f t="shared" si="6"/>
        <v>92</v>
      </c>
      <c r="B92" s="70" t="s">
        <v>395</v>
      </c>
      <c r="C92" s="70"/>
      <c r="D92" s="416" t="s">
        <v>396</v>
      </c>
      <c r="E92" s="416">
        <v>1</v>
      </c>
      <c r="F92" s="71">
        <v>25</v>
      </c>
      <c r="G92" s="40" t="s">
        <v>17</v>
      </c>
      <c r="H92" s="40" t="s">
        <v>17</v>
      </c>
      <c r="I92" s="40" t="s">
        <v>250</v>
      </c>
      <c r="J92" s="460">
        <v>9.83</v>
      </c>
      <c r="K92" s="371">
        <f t="shared" si="7"/>
        <v>200</v>
      </c>
      <c r="L92" s="72">
        <v>200</v>
      </c>
      <c r="M92" s="72"/>
      <c r="N92" s="73" t="e">
        <f t="shared" si="8"/>
        <v>#DIV/0!</v>
      </c>
      <c r="O92" s="73">
        <f t="shared" si="9"/>
        <v>0</v>
      </c>
      <c r="P92" s="74">
        <f>IF(L92="nio",0,IF(L92&gt;0,VLOOKUP(H92,'3-Productie normen'!A:J,VLOOKUP(L92,'3-Productie normen'!$B$33:$C$38,2,FALSE),FALSE)))/VLOOKUP(B92,'2-Kosten per locatie'!$A$12:$C$23,3,FALSE)</f>
        <v>0</v>
      </c>
      <c r="Q92" s="74">
        <f t="shared" si="10"/>
        <v>0</v>
      </c>
      <c r="R92" s="75" t="str">
        <f>VLOOKUP(H92,'3-Productie normen'!A:L,12,FALSE)</f>
        <v>S</v>
      </c>
      <c r="S92" s="75"/>
      <c r="U92" s="41">
        <f t="shared" si="11"/>
        <v>1966</v>
      </c>
    </row>
    <row r="93" spans="1:21" ht="14.1" customHeight="1">
      <c r="A93" s="54">
        <f t="shared" si="6"/>
        <v>93</v>
      </c>
      <c r="B93" s="70" t="s">
        <v>395</v>
      </c>
      <c r="C93" s="70"/>
      <c r="D93" s="416" t="s">
        <v>396</v>
      </c>
      <c r="E93" s="416">
        <v>2</v>
      </c>
      <c r="F93" s="71">
        <v>34</v>
      </c>
      <c r="G93" s="40" t="s">
        <v>17</v>
      </c>
      <c r="H93" s="40" t="s">
        <v>17</v>
      </c>
      <c r="I93" s="40" t="s">
        <v>250</v>
      </c>
      <c r="J93" s="460">
        <v>2.75</v>
      </c>
      <c r="K93" s="371">
        <f t="shared" si="7"/>
        <v>200</v>
      </c>
      <c r="L93" s="72">
        <v>200</v>
      </c>
      <c r="M93" s="72"/>
      <c r="N93" s="73" t="e">
        <f t="shared" si="8"/>
        <v>#DIV/0!</v>
      </c>
      <c r="O93" s="73">
        <f t="shared" si="9"/>
        <v>0</v>
      </c>
      <c r="P93" s="74">
        <f>IF(L93="nio",0,IF(L93&gt;0,VLOOKUP(H93,'3-Productie normen'!A:J,VLOOKUP(L93,'3-Productie normen'!$B$33:$C$38,2,FALSE),FALSE)))/VLOOKUP(B93,'2-Kosten per locatie'!$A$12:$C$23,3,FALSE)</f>
        <v>0</v>
      </c>
      <c r="Q93" s="74">
        <f t="shared" si="10"/>
        <v>0</v>
      </c>
      <c r="R93" s="75" t="str">
        <f>VLOOKUP(H93,'3-Productie normen'!A:L,12,FALSE)</f>
        <v>S</v>
      </c>
      <c r="S93" s="75"/>
      <c r="U93" s="41">
        <f t="shared" si="11"/>
        <v>550</v>
      </c>
    </row>
    <row r="94" spans="1:21" ht="14.1" customHeight="1">
      <c r="A94" s="54">
        <f t="shared" si="6"/>
        <v>94</v>
      </c>
      <c r="B94" s="70" t="s">
        <v>395</v>
      </c>
      <c r="C94" s="70"/>
      <c r="D94" s="416" t="s">
        <v>396</v>
      </c>
      <c r="E94" s="416">
        <v>2</v>
      </c>
      <c r="F94" s="71">
        <v>35</v>
      </c>
      <c r="G94" s="40" t="s">
        <v>17</v>
      </c>
      <c r="H94" s="40" t="s">
        <v>17</v>
      </c>
      <c r="I94" s="40" t="s">
        <v>250</v>
      </c>
      <c r="J94" s="460">
        <v>7.4</v>
      </c>
      <c r="K94" s="371">
        <f t="shared" si="7"/>
        <v>200</v>
      </c>
      <c r="L94" s="72">
        <v>200</v>
      </c>
      <c r="M94" s="72"/>
      <c r="N94" s="73" t="e">
        <f t="shared" si="8"/>
        <v>#DIV/0!</v>
      </c>
      <c r="O94" s="73">
        <f t="shared" si="9"/>
        <v>0</v>
      </c>
      <c r="P94" s="74">
        <f>IF(L94="nio",0,IF(L94&gt;0,VLOOKUP(H94,'3-Productie normen'!A:J,VLOOKUP(L94,'3-Productie normen'!$B$33:$C$38,2,FALSE),FALSE)))/VLOOKUP(B94,'2-Kosten per locatie'!$A$12:$C$23,3,FALSE)</f>
        <v>0</v>
      </c>
      <c r="Q94" s="74">
        <f t="shared" si="10"/>
        <v>0</v>
      </c>
      <c r="R94" s="75" t="str">
        <f>VLOOKUP(H94,'3-Productie normen'!A:L,12,FALSE)</f>
        <v>S</v>
      </c>
      <c r="S94" s="75"/>
      <c r="U94" s="41">
        <f t="shared" si="11"/>
        <v>1480</v>
      </c>
    </row>
    <row r="95" spans="1:21" ht="14.1" customHeight="1">
      <c r="A95" s="54">
        <f t="shared" si="6"/>
        <v>95</v>
      </c>
      <c r="B95" s="70" t="s">
        <v>395</v>
      </c>
      <c r="C95" s="70"/>
      <c r="D95" s="416" t="s">
        <v>396</v>
      </c>
      <c r="E95" s="416">
        <v>3</v>
      </c>
      <c r="F95" s="71">
        <v>38</v>
      </c>
      <c r="G95" s="40" t="s">
        <v>17</v>
      </c>
      <c r="H95" s="40" t="s">
        <v>17</v>
      </c>
      <c r="I95" s="40" t="s">
        <v>250</v>
      </c>
      <c r="J95" s="460">
        <v>2.75</v>
      </c>
      <c r="K95" s="371">
        <f t="shared" si="7"/>
        <v>200</v>
      </c>
      <c r="L95" s="72">
        <v>200</v>
      </c>
      <c r="M95" s="72"/>
      <c r="N95" s="73" t="e">
        <f t="shared" si="8"/>
        <v>#DIV/0!</v>
      </c>
      <c r="O95" s="73">
        <f t="shared" si="9"/>
        <v>0</v>
      </c>
      <c r="P95" s="74">
        <f>IF(L95="nio",0,IF(L95&gt;0,VLOOKUP(H95,'3-Productie normen'!A:J,VLOOKUP(L95,'3-Productie normen'!$B$33:$C$38,2,FALSE),FALSE)))/VLOOKUP(B95,'2-Kosten per locatie'!$A$12:$C$23,3,FALSE)</f>
        <v>0</v>
      </c>
      <c r="Q95" s="74">
        <f t="shared" si="10"/>
        <v>0</v>
      </c>
      <c r="R95" s="75" t="str">
        <f>VLOOKUP(H95,'3-Productie normen'!A:L,12,FALSE)</f>
        <v>S</v>
      </c>
      <c r="S95" s="75"/>
      <c r="U95" s="41">
        <f t="shared" si="11"/>
        <v>550</v>
      </c>
    </row>
    <row r="96" spans="1:21" ht="14.1" customHeight="1">
      <c r="A96" s="54">
        <f t="shared" si="6"/>
        <v>96</v>
      </c>
      <c r="B96" s="70" t="s">
        <v>395</v>
      </c>
      <c r="C96" s="70"/>
      <c r="D96" s="416" t="s">
        <v>396</v>
      </c>
      <c r="E96" s="416">
        <v>3</v>
      </c>
      <c r="F96" s="71">
        <v>39</v>
      </c>
      <c r="G96" s="40" t="s">
        <v>17</v>
      </c>
      <c r="H96" s="40" t="s">
        <v>17</v>
      </c>
      <c r="I96" s="40" t="s">
        <v>250</v>
      </c>
      <c r="J96" s="460">
        <v>7.4</v>
      </c>
      <c r="K96" s="371">
        <f t="shared" si="7"/>
        <v>200</v>
      </c>
      <c r="L96" s="72">
        <v>200</v>
      </c>
      <c r="M96" s="72"/>
      <c r="N96" s="73" t="e">
        <f t="shared" si="8"/>
        <v>#DIV/0!</v>
      </c>
      <c r="O96" s="73">
        <f t="shared" si="9"/>
        <v>0</v>
      </c>
      <c r="P96" s="74">
        <f>IF(L96="nio",0,IF(L96&gt;0,VLOOKUP(H96,'3-Productie normen'!A:J,VLOOKUP(L96,'3-Productie normen'!$B$33:$C$38,2,FALSE),FALSE)))/VLOOKUP(B96,'2-Kosten per locatie'!$A$12:$C$23,3,FALSE)</f>
        <v>0</v>
      </c>
      <c r="Q96" s="74">
        <f t="shared" si="10"/>
        <v>0</v>
      </c>
      <c r="R96" s="75" t="str">
        <f>VLOOKUP(H96,'3-Productie normen'!A:L,12,FALSE)</f>
        <v>S</v>
      </c>
      <c r="S96" s="75"/>
      <c r="U96" s="41">
        <f t="shared" si="11"/>
        <v>1480</v>
      </c>
    </row>
    <row r="97" spans="1:21" ht="14.1" customHeight="1">
      <c r="A97" s="54">
        <f t="shared" si="6"/>
        <v>97</v>
      </c>
      <c r="B97" s="70" t="s">
        <v>395</v>
      </c>
      <c r="C97" s="70"/>
      <c r="D97" s="416" t="s">
        <v>396</v>
      </c>
      <c r="E97" s="416" t="s">
        <v>89</v>
      </c>
      <c r="F97" s="71">
        <v>18</v>
      </c>
      <c r="G97" s="40" t="s">
        <v>226</v>
      </c>
      <c r="H97" s="40" t="s">
        <v>226</v>
      </c>
      <c r="I97" s="40" t="s">
        <v>228</v>
      </c>
      <c r="J97" s="460">
        <v>27.54</v>
      </c>
      <c r="K97" s="371">
        <f t="shared" si="7"/>
        <v>200</v>
      </c>
      <c r="L97" s="72">
        <v>200</v>
      </c>
      <c r="M97" s="72"/>
      <c r="N97" s="73" t="e">
        <f t="shared" si="8"/>
        <v>#DIV/0!</v>
      </c>
      <c r="O97" s="73">
        <f t="shared" si="9"/>
        <v>0</v>
      </c>
      <c r="P97" s="74">
        <f>IF(L97="nio",0,IF(L97&gt;0,VLOOKUP(H97,'3-Productie normen'!A:J,VLOOKUP(L97,'3-Productie normen'!$B$33:$C$38,2,FALSE),FALSE)))/VLOOKUP(B97,'2-Kosten per locatie'!$A$12:$C$23,3,FALSE)</f>
        <v>0</v>
      </c>
      <c r="Q97" s="74">
        <f t="shared" si="10"/>
        <v>0</v>
      </c>
      <c r="R97" s="75" t="str">
        <f>VLOOKUP(H97,'3-Productie normen'!A:L,12,FALSE)</f>
        <v>V</v>
      </c>
      <c r="S97" s="75"/>
      <c r="U97" s="41">
        <f t="shared" si="11"/>
        <v>5508</v>
      </c>
    </row>
    <row r="98" spans="1:21" ht="14.1" customHeight="1">
      <c r="A98" s="54">
        <f t="shared" si="6"/>
        <v>98</v>
      </c>
      <c r="B98" s="70" t="s">
        <v>395</v>
      </c>
      <c r="C98" s="70"/>
      <c r="D98" s="416" t="s">
        <v>396</v>
      </c>
      <c r="E98" s="416" t="s">
        <v>89</v>
      </c>
      <c r="F98" s="71">
        <v>3</v>
      </c>
      <c r="G98" s="40" t="s">
        <v>248</v>
      </c>
      <c r="H98" s="40" t="s">
        <v>232</v>
      </c>
      <c r="I98" s="40" t="s">
        <v>225</v>
      </c>
      <c r="J98" s="460">
        <v>24.21</v>
      </c>
      <c r="K98" s="371">
        <f t="shared" si="7"/>
        <v>200</v>
      </c>
      <c r="L98" s="72">
        <v>200</v>
      </c>
      <c r="M98" s="72"/>
      <c r="N98" s="73" t="e">
        <f t="shared" si="8"/>
        <v>#DIV/0!</v>
      </c>
      <c r="O98" s="73">
        <f t="shared" si="9"/>
        <v>0</v>
      </c>
      <c r="P98" s="74">
        <f>IF(L98="nio",0,IF(L98&gt;0,VLOOKUP(H98,'3-Productie normen'!A:J,VLOOKUP(L98,'3-Productie normen'!$B$33:$C$38,2,FALSE),FALSE)))/VLOOKUP(B98,'2-Kosten per locatie'!$A$12:$C$23,3,FALSE)</f>
        <v>0</v>
      </c>
      <c r="Q98" s="74">
        <f t="shared" si="10"/>
        <v>0</v>
      </c>
      <c r="R98" s="75" t="str">
        <f>VLOOKUP(H98,'3-Productie normen'!A:L,12,FALSE)</f>
        <v>V</v>
      </c>
      <c r="S98" s="75"/>
      <c r="U98" s="41">
        <f t="shared" si="11"/>
        <v>4842</v>
      </c>
    </row>
    <row r="99" spans="1:21" ht="14.1" customHeight="1">
      <c r="A99" s="54">
        <f t="shared" si="6"/>
        <v>99</v>
      </c>
      <c r="B99" s="70" t="s">
        <v>395</v>
      </c>
      <c r="C99" s="70"/>
      <c r="D99" s="416" t="s">
        <v>396</v>
      </c>
      <c r="E99" s="416">
        <v>1</v>
      </c>
      <c r="F99" s="71">
        <v>19</v>
      </c>
      <c r="G99" s="40" t="s">
        <v>248</v>
      </c>
      <c r="H99" s="40" t="s">
        <v>232</v>
      </c>
      <c r="I99" s="40" t="s">
        <v>227</v>
      </c>
      <c r="J99" s="460">
        <v>15.24</v>
      </c>
      <c r="K99" s="371">
        <f t="shared" si="7"/>
        <v>200</v>
      </c>
      <c r="L99" s="72">
        <v>200</v>
      </c>
      <c r="M99" s="72"/>
      <c r="N99" s="73" t="e">
        <f t="shared" si="8"/>
        <v>#DIV/0!</v>
      </c>
      <c r="O99" s="73">
        <f t="shared" si="9"/>
        <v>0</v>
      </c>
      <c r="P99" s="74">
        <f>IF(L99="nio",0,IF(L99&gt;0,VLOOKUP(H99,'3-Productie normen'!A:J,VLOOKUP(L99,'3-Productie normen'!$B$33:$C$38,2,FALSE),FALSE)))/VLOOKUP(B99,'2-Kosten per locatie'!$A$12:$C$23,3,FALSE)</f>
        <v>0</v>
      </c>
      <c r="Q99" s="74">
        <f t="shared" si="10"/>
        <v>0</v>
      </c>
      <c r="R99" s="75" t="str">
        <f>VLOOKUP(H99,'3-Productie normen'!A:L,12,FALSE)</f>
        <v>V</v>
      </c>
      <c r="S99" s="75"/>
      <c r="U99" s="41">
        <f t="shared" si="11"/>
        <v>3048</v>
      </c>
    </row>
    <row r="100" spans="1:21" ht="14.1" customHeight="1">
      <c r="A100" s="54">
        <f t="shared" si="6"/>
        <v>100</v>
      </c>
      <c r="B100" s="70" t="s">
        <v>395</v>
      </c>
      <c r="C100" s="70"/>
      <c r="D100" s="416" t="s">
        <v>396</v>
      </c>
      <c r="E100" s="416">
        <v>1</v>
      </c>
      <c r="F100" s="71">
        <v>20</v>
      </c>
      <c r="G100" s="40" t="s">
        <v>248</v>
      </c>
      <c r="H100" s="40" t="s">
        <v>232</v>
      </c>
      <c r="I100" s="40" t="s">
        <v>225</v>
      </c>
      <c r="J100" s="460">
        <v>29.9</v>
      </c>
      <c r="K100" s="371">
        <f t="shared" si="7"/>
        <v>200</v>
      </c>
      <c r="L100" s="72">
        <v>200</v>
      </c>
      <c r="M100" s="72"/>
      <c r="N100" s="73" t="e">
        <f t="shared" si="8"/>
        <v>#DIV/0!</v>
      </c>
      <c r="O100" s="73">
        <f t="shared" si="9"/>
        <v>0</v>
      </c>
      <c r="P100" s="74">
        <f>IF(L100="nio",0,IF(L100&gt;0,VLOOKUP(H100,'3-Productie normen'!A:J,VLOOKUP(L100,'3-Productie normen'!$B$33:$C$38,2,FALSE),FALSE)))/VLOOKUP(B100,'2-Kosten per locatie'!$A$12:$C$23,3,FALSE)</f>
        <v>0</v>
      </c>
      <c r="Q100" s="74">
        <f t="shared" si="10"/>
        <v>0</v>
      </c>
      <c r="R100" s="75" t="str">
        <f>VLOOKUP(H100,'3-Productie normen'!A:L,12,FALSE)</f>
        <v>V</v>
      </c>
      <c r="S100" s="75"/>
      <c r="U100" s="41">
        <f t="shared" si="11"/>
        <v>5980</v>
      </c>
    </row>
    <row r="101" spans="1:21" ht="14.1" customHeight="1">
      <c r="A101" s="54">
        <f t="shared" si="6"/>
        <v>101</v>
      </c>
      <c r="B101" s="70" t="s">
        <v>395</v>
      </c>
      <c r="C101" s="70"/>
      <c r="D101" s="416" t="s">
        <v>396</v>
      </c>
      <c r="E101" s="416">
        <v>1</v>
      </c>
      <c r="F101" s="71">
        <v>28</v>
      </c>
      <c r="G101" s="40" t="s">
        <v>248</v>
      </c>
      <c r="H101" s="40" t="s">
        <v>232</v>
      </c>
      <c r="I101" s="40" t="s">
        <v>225</v>
      </c>
      <c r="J101" s="460">
        <v>12.03</v>
      </c>
      <c r="K101" s="371">
        <f t="shared" si="7"/>
        <v>200</v>
      </c>
      <c r="L101" s="72">
        <v>200</v>
      </c>
      <c r="M101" s="72"/>
      <c r="N101" s="73" t="e">
        <f t="shared" si="8"/>
        <v>#DIV/0!</v>
      </c>
      <c r="O101" s="73">
        <f t="shared" si="9"/>
        <v>0</v>
      </c>
      <c r="P101" s="74">
        <f>IF(L101="nio",0,IF(L101&gt;0,VLOOKUP(H101,'3-Productie normen'!A:J,VLOOKUP(L101,'3-Productie normen'!$B$33:$C$38,2,FALSE),FALSE)))/VLOOKUP(B101,'2-Kosten per locatie'!$A$12:$C$23,3,FALSE)</f>
        <v>0</v>
      </c>
      <c r="Q101" s="74">
        <f t="shared" si="10"/>
        <v>0</v>
      </c>
      <c r="R101" s="75" t="str">
        <f>VLOOKUP(H101,'3-Productie normen'!A:L,12,FALSE)</f>
        <v>V</v>
      </c>
      <c r="S101" s="75"/>
      <c r="U101" s="41">
        <f t="shared" si="11"/>
        <v>2406</v>
      </c>
    </row>
    <row r="102" spans="1:21" ht="14.1" customHeight="1">
      <c r="A102" s="54">
        <f t="shared" si="6"/>
        <v>102</v>
      </c>
      <c r="B102" s="70" t="s">
        <v>395</v>
      </c>
      <c r="C102" s="70"/>
      <c r="D102" s="416" t="s">
        <v>396</v>
      </c>
      <c r="E102" s="416">
        <v>2</v>
      </c>
      <c r="F102" s="71">
        <v>29</v>
      </c>
      <c r="G102" s="40" t="s">
        <v>248</v>
      </c>
      <c r="H102" s="40" t="s">
        <v>232</v>
      </c>
      <c r="I102" s="40" t="s">
        <v>225</v>
      </c>
      <c r="J102" s="460">
        <v>29.9</v>
      </c>
      <c r="K102" s="371">
        <f t="shared" si="7"/>
        <v>200</v>
      </c>
      <c r="L102" s="72">
        <v>200</v>
      </c>
      <c r="M102" s="72"/>
      <c r="N102" s="73" t="e">
        <f t="shared" si="8"/>
        <v>#DIV/0!</v>
      </c>
      <c r="O102" s="73">
        <f t="shared" si="9"/>
        <v>0</v>
      </c>
      <c r="P102" s="74">
        <f>IF(L102="nio",0,IF(L102&gt;0,VLOOKUP(H102,'3-Productie normen'!A:J,VLOOKUP(L102,'3-Productie normen'!$B$33:$C$38,2,FALSE),FALSE)))/VLOOKUP(B102,'2-Kosten per locatie'!$A$12:$C$23,3,FALSE)</f>
        <v>0</v>
      </c>
      <c r="Q102" s="74">
        <f t="shared" si="10"/>
        <v>0</v>
      </c>
      <c r="R102" s="75" t="str">
        <f>VLOOKUP(H102,'3-Productie normen'!A:L,12,FALSE)</f>
        <v>V</v>
      </c>
      <c r="S102" s="75"/>
      <c r="U102" s="41">
        <f t="shared" si="11"/>
        <v>5980</v>
      </c>
    </row>
    <row r="103" spans="1:21" ht="14.1" customHeight="1">
      <c r="A103" s="54">
        <f t="shared" si="6"/>
        <v>103</v>
      </c>
      <c r="B103" s="70" t="s">
        <v>395</v>
      </c>
      <c r="C103" s="70"/>
      <c r="D103" s="416" t="s">
        <v>396</v>
      </c>
      <c r="E103" s="416">
        <v>2</v>
      </c>
      <c r="F103" s="71">
        <v>32</v>
      </c>
      <c r="G103" s="40" t="s">
        <v>248</v>
      </c>
      <c r="H103" s="40" t="s">
        <v>232</v>
      </c>
      <c r="I103" s="40" t="s">
        <v>225</v>
      </c>
      <c r="J103" s="460">
        <v>11.24</v>
      </c>
      <c r="K103" s="371">
        <f t="shared" si="7"/>
        <v>200</v>
      </c>
      <c r="L103" s="72">
        <v>200</v>
      </c>
      <c r="M103" s="72"/>
      <c r="N103" s="73" t="e">
        <f t="shared" si="8"/>
        <v>#DIV/0!</v>
      </c>
      <c r="O103" s="73">
        <f t="shared" si="9"/>
        <v>0</v>
      </c>
      <c r="P103" s="74">
        <f>IF(L103="nio",0,IF(L103&gt;0,VLOOKUP(H103,'3-Productie normen'!A:J,VLOOKUP(L103,'3-Productie normen'!$B$33:$C$38,2,FALSE),FALSE)))/VLOOKUP(B103,'2-Kosten per locatie'!$A$12:$C$23,3,FALSE)</f>
        <v>0</v>
      </c>
      <c r="Q103" s="74">
        <f t="shared" si="10"/>
        <v>0</v>
      </c>
      <c r="R103" s="75" t="str">
        <f>VLOOKUP(H103,'3-Productie normen'!A:L,12,FALSE)</f>
        <v>V</v>
      </c>
      <c r="S103" s="75"/>
      <c r="U103" s="41">
        <f t="shared" si="11"/>
        <v>2248</v>
      </c>
    </row>
    <row r="104" spans="1:21" ht="14.1" customHeight="1">
      <c r="A104" s="54">
        <f t="shared" si="6"/>
        <v>104</v>
      </c>
      <c r="B104" s="70" t="s">
        <v>395</v>
      </c>
      <c r="C104" s="70"/>
      <c r="D104" s="416" t="s">
        <v>396</v>
      </c>
      <c r="E104" s="416">
        <v>3</v>
      </c>
      <c r="F104" s="71">
        <v>37</v>
      </c>
      <c r="G104" s="40" t="s">
        <v>248</v>
      </c>
      <c r="H104" s="40" t="s">
        <v>232</v>
      </c>
      <c r="I104" s="40" t="s">
        <v>225</v>
      </c>
      <c r="J104" s="460">
        <v>11.24</v>
      </c>
      <c r="K104" s="371">
        <f t="shared" si="7"/>
        <v>200</v>
      </c>
      <c r="L104" s="72">
        <v>200</v>
      </c>
      <c r="M104" s="72"/>
      <c r="N104" s="73" t="e">
        <f t="shared" si="8"/>
        <v>#DIV/0!</v>
      </c>
      <c r="O104" s="73">
        <f t="shared" si="9"/>
        <v>0</v>
      </c>
      <c r="P104" s="74">
        <f>IF(L104="nio",0,IF(L104&gt;0,VLOOKUP(H104,'3-Productie normen'!A:J,VLOOKUP(L104,'3-Productie normen'!$B$33:$C$38,2,FALSE),FALSE)))/VLOOKUP(B104,'2-Kosten per locatie'!$A$12:$C$23,3,FALSE)</f>
        <v>0</v>
      </c>
      <c r="Q104" s="74">
        <f t="shared" si="10"/>
        <v>0</v>
      </c>
      <c r="R104" s="75" t="str">
        <f>VLOOKUP(H104,'3-Productie normen'!A:L,12,FALSE)</f>
        <v>V</v>
      </c>
      <c r="S104" s="75"/>
      <c r="U104" s="41">
        <f t="shared" si="11"/>
        <v>2248</v>
      </c>
    </row>
    <row r="105" spans="1:21" ht="14.1" customHeight="1">
      <c r="A105" s="54">
        <f t="shared" si="6"/>
        <v>105</v>
      </c>
      <c r="B105" s="70" t="s">
        <v>395</v>
      </c>
      <c r="C105" s="70"/>
      <c r="D105" s="416" t="s">
        <v>396</v>
      </c>
      <c r="E105" s="416">
        <v>3</v>
      </c>
      <c r="F105" s="71">
        <v>41</v>
      </c>
      <c r="G105" s="40" t="s">
        <v>248</v>
      </c>
      <c r="H105" s="40" t="s">
        <v>232</v>
      </c>
      <c r="I105" s="40" t="s">
        <v>225</v>
      </c>
      <c r="J105" s="460">
        <v>29.9</v>
      </c>
      <c r="K105" s="371">
        <f t="shared" si="7"/>
        <v>200</v>
      </c>
      <c r="L105" s="72">
        <v>200</v>
      </c>
      <c r="M105" s="72"/>
      <c r="N105" s="73" t="e">
        <f t="shared" si="8"/>
        <v>#DIV/0!</v>
      </c>
      <c r="O105" s="73">
        <f t="shared" si="9"/>
        <v>0</v>
      </c>
      <c r="P105" s="74">
        <f>IF(L105="nio",0,IF(L105&gt;0,VLOOKUP(H105,'3-Productie normen'!A:J,VLOOKUP(L105,'3-Productie normen'!$B$33:$C$38,2,FALSE),FALSE)))/VLOOKUP(B105,'2-Kosten per locatie'!$A$12:$C$23,3,FALSE)</f>
        <v>0</v>
      </c>
      <c r="Q105" s="74">
        <f t="shared" si="10"/>
        <v>0</v>
      </c>
      <c r="R105" s="75" t="str">
        <f>VLOOKUP(H105,'3-Productie normen'!A:L,12,FALSE)</f>
        <v>V</v>
      </c>
      <c r="S105" s="75"/>
      <c r="U105" s="41">
        <f t="shared" si="11"/>
        <v>5980</v>
      </c>
    </row>
    <row r="106" spans="1:21" ht="14.1" customHeight="1">
      <c r="A106" s="54">
        <f t="shared" si="6"/>
        <v>106</v>
      </c>
      <c r="B106" s="70" t="s">
        <v>395</v>
      </c>
      <c r="C106" s="70"/>
      <c r="D106" s="416" t="s">
        <v>396</v>
      </c>
      <c r="E106" s="416">
        <v>3</v>
      </c>
      <c r="F106" s="71">
        <v>45</v>
      </c>
      <c r="G106" s="40" t="s">
        <v>248</v>
      </c>
      <c r="H106" s="40" t="s">
        <v>232</v>
      </c>
      <c r="I106" s="40" t="s">
        <v>225</v>
      </c>
      <c r="J106" s="460">
        <v>5.6</v>
      </c>
      <c r="K106" s="371">
        <f t="shared" si="7"/>
        <v>200</v>
      </c>
      <c r="L106" s="72">
        <v>200</v>
      </c>
      <c r="M106" s="72"/>
      <c r="N106" s="73" t="e">
        <f t="shared" si="8"/>
        <v>#DIV/0!</v>
      </c>
      <c r="O106" s="73">
        <f t="shared" si="9"/>
        <v>0</v>
      </c>
      <c r="P106" s="74">
        <f>IF(L106="nio",0,IF(L106&gt;0,VLOOKUP(H106,'3-Productie normen'!A:J,VLOOKUP(L106,'3-Productie normen'!$B$33:$C$38,2,FALSE),FALSE)))/VLOOKUP(B106,'2-Kosten per locatie'!$A$12:$C$23,3,FALSE)</f>
        <v>0</v>
      </c>
      <c r="Q106" s="74">
        <f t="shared" si="10"/>
        <v>0</v>
      </c>
      <c r="R106" s="75" t="str">
        <f>VLOOKUP(H106,'3-Productie normen'!A:L,12,FALSE)</f>
        <v>V</v>
      </c>
      <c r="S106" s="75"/>
      <c r="U106" s="41">
        <f t="shared" si="11"/>
        <v>1120</v>
      </c>
    </row>
    <row r="107" spans="1:21" ht="14.1" customHeight="1">
      <c r="A107" s="54">
        <f t="shared" si="6"/>
        <v>107</v>
      </c>
      <c r="B107" s="70" t="s">
        <v>398</v>
      </c>
      <c r="C107" s="70"/>
      <c r="D107" s="416" t="s">
        <v>399</v>
      </c>
      <c r="E107" s="416" t="s">
        <v>89</v>
      </c>
      <c r="F107" s="71">
        <v>1</v>
      </c>
      <c r="G107" s="40" t="s">
        <v>247</v>
      </c>
      <c r="H107" s="40" t="s">
        <v>90</v>
      </c>
      <c r="I107" s="40" t="s">
        <v>227</v>
      </c>
      <c r="J107" s="460">
        <v>5.55</v>
      </c>
      <c r="K107" s="371">
        <f t="shared" si="7"/>
        <v>200</v>
      </c>
      <c r="L107" s="72">
        <v>200</v>
      </c>
      <c r="M107" s="72"/>
      <c r="N107" s="73" t="e">
        <f t="shared" si="8"/>
        <v>#DIV/0!</v>
      </c>
      <c r="O107" s="73">
        <f t="shared" si="9"/>
        <v>0</v>
      </c>
      <c r="P107" s="74">
        <f>IF(L107="nio",0,IF(L107&gt;0,VLOOKUP(H107,'3-Productie normen'!A:J,VLOOKUP(L107,'3-Productie normen'!$B$33:$C$38,2,FALSE),FALSE)))/VLOOKUP(B107,'2-Kosten per locatie'!$A$12:$C$23,3,FALSE)</f>
        <v>0</v>
      </c>
      <c r="Q107" s="74">
        <f t="shared" si="10"/>
        <v>0</v>
      </c>
      <c r="R107" s="75" t="str">
        <f>VLOOKUP(H107,'3-Productie normen'!A:L,12,FALSE)</f>
        <v>V</v>
      </c>
      <c r="S107" s="75"/>
      <c r="U107" s="41">
        <f t="shared" si="11"/>
        <v>1110</v>
      </c>
    </row>
    <row r="108" spans="1:21" ht="14.1" customHeight="1">
      <c r="A108" s="54">
        <f t="shared" si="6"/>
        <v>108</v>
      </c>
      <c r="B108" s="70" t="s">
        <v>398</v>
      </c>
      <c r="C108" s="70"/>
      <c r="D108" s="416" t="s">
        <v>399</v>
      </c>
      <c r="E108" s="416" t="s">
        <v>89</v>
      </c>
      <c r="F108" s="71">
        <v>2</v>
      </c>
      <c r="G108" s="40" t="s">
        <v>248</v>
      </c>
      <c r="H108" s="40" t="s">
        <v>232</v>
      </c>
      <c r="I108" s="40" t="s">
        <v>225</v>
      </c>
      <c r="J108" s="460">
        <v>42.65</v>
      </c>
      <c r="K108" s="371">
        <f t="shared" si="7"/>
        <v>200</v>
      </c>
      <c r="L108" s="72">
        <v>200</v>
      </c>
      <c r="M108" s="72"/>
      <c r="N108" s="73" t="e">
        <f t="shared" si="8"/>
        <v>#DIV/0!</v>
      </c>
      <c r="O108" s="73">
        <f t="shared" si="9"/>
        <v>0</v>
      </c>
      <c r="P108" s="74">
        <f>IF(L108="nio",0,IF(L108&gt;0,VLOOKUP(H108,'3-Productie normen'!A:J,VLOOKUP(L108,'3-Productie normen'!$B$33:$C$38,2,FALSE),FALSE)))/VLOOKUP(B108,'2-Kosten per locatie'!$A$12:$C$23,3,FALSE)</f>
        <v>0</v>
      </c>
      <c r="Q108" s="74">
        <f t="shared" si="10"/>
        <v>0</v>
      </c>
      <c r="R108" s="75" t="str">
        <f>VLOOKUP(H108,'3-Productie normen'!A:L,12,FALSE)</f>
        <v>V</v>
      </c>
      <c r="S108" s="75"/>
      <c r="U108" s="41">
        <f t="shared" si="11"/>
        <v>8530</v>
      </c>
    </row>
    <row r="109" spans="1:21" ht="14.1" customHeight="1">
      <c r="A109" s="54">
        <f t="shared" si="6"/>
        <v>109</v>
      </c>
      <c r="B109" s="70" t="s">
        <v>398</v>
      </c>
      <c r="C109" s="70"/>
      <c r="D109" s="416" t="s">
        <v>399</v>
      </c>
      <c r="E109" s="416" t="s">
        <v>89</v>
      </c>
      <c r="F109" s="71" t="s">
        <v>400</v>
      </c>
      <c r="G109" s="40" t="s">
        <v>230</v>
      </c>
      <c r="H109" s="40" t="s">
        <v>230</v>
      </c>
      <c r="I109" s="40" t="s">
        <v>225</v>
      </c>
      <c r="J109" s="460">
        <v>56</v>
      </c>
      <c r="K109" s="371">
        <f t="shared" si="7"/>
        <v>200</v>
      </c>
      <c r="L109" s="72">
        <v>200</v>
      </c>
      <c r="M109" s="72"/>
      <c r="N109" s="73" t="e">
        <f t="shared" si="8"/>
        <v>#DIV/0!</v>
      </c>
      <c r="O109" s="73">
        <f t="shared" si="9"/>
        <v>0</v>
      </c>
      <c r="P109" s="74">
        <f>IF(L109="nio",0,IF(L109&gt;0,VLOOKUP(H109,'3-Productie normen'!A:J,VLOOKUP(L109,'3-Productie normen'!$B$33:$C$38,2,FALSE),FALSE)))/VLOOKUP(B109,'2-Kosten per locatie'!$A$12:$C$23,3,FALSE)</f>
        <v>0</v>
      </c>
      <c r="Q109" s="74">
        <f t="shared" si="10"/>
        <v>0</v>
      </c>
      <c r="R109" s="75" t="str">
        <f>VLOOKUP(H109,'3-Productie normen'!A:L,12,FALSE)</f>
        <v>S</v>
      </c>
      <c r="S109" s="75"/>
      <c r="U109" s="41">
        <f t="shared" si="11"/>
        <v>11200</v>
      </c>
    </row>
    <row r="110" spans="1:21" ht="14.1" customHeight="1">
      <c r="A110" s="54">
        <f t="shared" si="6"/>
        <v>110</v>
      </c>
      <c r="B110" s="70" t="s">
        <v>398</v>
      </c>
      <c r="C110" s="70"/>
      <c r="D110" s="416" t="s">
        <v>399</v>
      </c>
      <c r="E110" s="416" t="s">
        <v>89</v>
      </c>
      <c r="F110" s="71" t="s">
        <v>401</v>
      </c>
      <c r="G110" s="40" t="s">
        <v>17</v>
      </c>
      <c r="H110" s="40" t="s">
        <v>17</v>
      </c>
      <c r="I110" s="40" t="s">
        <v>250</v>
      </c>
      <c r="J110" s="460">
        <v>9.2200000000000006</v>
      </c>
      <c r="K110" s="371">
        <f t="shared" si="7"/>
        <v>200</v>
      </c>
      <c r="L110" s="72">
        <v>200</v>
      </c>
      <c r="M110" s="72"/>
      <c r="N110" s="73" t="e">
        <f t="shared" si="8"/>
        <v>#DIV/0!</v>
      </c>
      <c r="O110" s="73">
        <f t="shared" si="9"/>
        <v>0</v>
      </c>
      <c r="P110" s="74">
        <f>IF(L110="nio",0,IF(L110&gt;0,VLOOKUP(H110,'3-Productie normen'!A:J,VLOOKUP(L110,'3-Productie normen'!$B$33:$C$38,2,FALSE),FALSE)))/VLOOKUP(B110,'2-Kosten per locatie'!$A$12:$C$23,3,FALSE)</f>
        <v>0</v>
      </c>
      <c r="Q110" s="74">
        <f t="shared" si="10"/>
        <v>0</v>
      </c>
      <c r="R110" s="75" t="str">
        <f>VLOOKUP(H110,'3-Productie normen'!A:L,12,FALSE)</f>
        <v>S</v>
      </c>
      <c r="S110" s="75"/>
      <c r="U110" s="41">
        <f t="shared" si="11"/>
        <v>1844.0000000000002</v>
      </c>
    </row>
    <row r="111" spans="1:21" ht="14.1" customHeight="1">
      <c r="A111" s="54">
        <f t="shared" si="6"/>
        <v>111</v>
      </c>
      <c r="B111" s="70" t="s">
        <v>398</v>
      </c>
      <c r="C111" s="70"/>
      <c r="D111" s="416" t="s">
        <v>399</v>
      </c>
      <c r="E111" s="416" t="s">
        <v>89</v>
      </c>
      <c r="F111" s="71">
        <v>5</v>
      </c>
      <c r="G111" s="40" t="s">
        <v>176</v>
      </c>
      <c r="H111" s="40" t="s">
        <v>176</v>
      </c>
      <c r="I111" s="40" t="s">
        <v>225</v>
      </c>
      <c r="J111" s="460">
        <v>13.42</v>
      </c>
      <c r="K111" s="371">
        <f t="shared" si="7"/>
        <v>200</v>
      </c>
      <c r="L111" s="72">
        <v>200</v>
      </c>
      <c r="M111" s="72"/>
      <c r="N111" s="73" t="e">
        <f t="shared" si="8"/>
        <v>#DIV/0!</v>
      </c>
      <c r="O111" s="73">
        <f t="shared" si="9"/>
        <v>0</v>
      </c>
      <c r="P111" s="74">
        <f>IF(L111="nio",0,IF(L111&gt;0,VLOOKUP(H111,'3-Productie normen'!A:J,VLOOKUP(L111,'3-Productie normen'!$B$33:$C$38,2,FALSE),FALSE)))/VLOOKUP(B111,'2-Kosten per locatie'!$A$12:$C$23,3,FALSE)</f>
        <v>0</v>
      </c>
      <c r="Q111" s="74">
        <f t="shared" si="10"/>
        <v>0</v>
      </c>
      <c r="R111" s="75" t="str">
        <f>VLOOKUP(H111,'3-Productie normen'!A:L,12,FALSE)</f>
        <v>B</v>
      </c>
      <c r="S111" s="75"/>
      <c r="U111" s="41">
        <f t="shared" si="11"/>
        <v>2684</v>
      </c>
    </row>
    <row r="112" spans="1:21" ht="14.1" customHeight="1">
      <c r="A112" s="54">
        <f t="shared" si="6"/>
        <v>112</v>
      </c>
      <c r="B112" s="70" t="s">
        <v>398</v>
      </c>
      <c r="C112" s="70"/>
      <c r="D112" s="416" t="s">
        <v>399</v>
      </c>
      <c r="E112" s="416" t="s">
        <v>89</v>
      </c>
      <c r="F112" s="71">
        <v>6</v>
      </c>
      <c r="G112" s="40" t="s">
        <v>17</v>
      </c>
      <c r="H112" s="40" t="s">
        <v>17</v>
      </c>
      <c r="I112" s="40" t="s">
        <v>250</v>
      </c>
      <c r="J112" s="460">
        <v>3.32</v>
      </c>
      <c r="K112" s="371">
        <f t="shared" si="7"/>
        <v>200</v>
      </c>
      <c r="L112" s="72">
        <v>200</v>
      </c>
      <c r="M112" s="72"/>
      <c r="N112" s="73" t="e">
        <f t="shared" si="8"/>
        <v>#DIV/0!</v>
      </c>
      <c r="O112" s="73">
        <f t="shared" si="9"/>
        <v>0</v>
      </c>
      <c r="P112" s="74">
        <f>IF(L112="nio",0,IF(L112&gt;0,VLOOKUP(H112,'3-Productie normen'!A:J,VLOOKUP(L112,'3-Productie normen'!$B$33:$C$38,2,FALSE),FALSE)))/VLOOKUP(B112,'2-Kosten per locatie'!$A$12:$C$23,3,FALSE)</f>
        <v>0</v>
      </c>
      <c r="Q112" s="74">
        <f t="shared" si="10"/>
        <v>0</v>
      </c>
      <c r="R112" s="75" t="str">
        <f>VLOOKUP(H112,'3-Productie normen'!A:L,12,FALSE)</f>
        <v>S</v>
      </c>
      <c r="S112" s="75"/>
      <c r="U112" s="41">
        <f t="shared" si="11"/>
        <v>664</v>
      </c>
    </row>
    <row r="113" spans="1:21" ht="14.1" customHeight="1">
      <c r="A113" s="54">
        <f t="shared" si="6"/>
        <v>113</v>
      </c>
      <c r="B113" s="70" t="s">
        <v>398</v>
      </c>
      <c r="C113" s="70"/>
      <c r="D113" s="416" t="s">
        <v>399</v>
      </c>
      <c r="E113" s="416" t="s">
        <v>89</v>
      </c>
      <c r="F113" s="71">
        <v>7</v>
      </c>
      <c r="G113" s="40" t="s">
        <v>252</v>
      </c>
      <c r="H113" s="40" t="s">
        <v>101</v>
      </c>
      <c r="I113" s="40" t="s">
        <v>225</v>
      </c>
      <c r="J113" s="460">
        <v>2.33</v>
      </c>
      <c r="K113" s="371">
        <f t="shared" si="7"/>
        <v>0</v>
      </c>
      <c r="L113" s="72" t="s">
        <v>101</v>
      </c>
      <c r="M113" s="72"/>
      <c r="N113" s="73">
        <f t="shared" si="8"/>
        <v>0</v>
      </c>
      <c r="O113" s="73">
        <f t="shared" si="9"/>
        <v>0</v>
      </c>
      <c r="P113" s="74">
        <f>IF(L113="nio",0,IF(L113&gt;0,VLOOKUP(H113,'3-Productie normen'!A:J,VLOOKUP(L113,'3-Productie normen'!$B$33:$C$38,2,FALSE),FALSE)))/VLOOKUP(B113,'2-Kosten per locatie'!$A$12:$C$23,3,FALSE)</f>
        <v>0</v>
      </c>
      <c r="Q113" s="74">
        <f t="shared" si="10"/>
        <v>0</v>
      </c>
      <c r="R113" s="75">
        <f>VLOOKUP(H113,'3-Productie normen'!A:L,12,FALSE)</f>
        <v>0</v>
      </c>
      <c r="S113" s="75"/>
      <c r="U113" s="41">
        <f t="shared" si="11"/>
        <v>0</v>
      </c>
    </row>
    <row r="114" spans="1:21" ht="14.1" customHeight="1">
      <c r="A114" s="54">
        <f t="shared" si="6"/>
        <v>114</v>
      </c>
      <c r="B114" s="70" t="s">
        <v>398</v>
      </c>
      <c r="C114" s="70"/>
      <c r="D114" s="416" t="s">
        <v>399</v>
      </c>
      <c r="E114" s="416" t="s">
        <v>89</v>
      </c>
      <c r="F114" s="71">
        <v>8</v>
      </c>
      <c r="G114" s="40" t="s">
        <v>248</v>
      </c>
      <c r="H114" s="40" t="s">
        <v>232</v>
      </c>
      <c r="I114" s="40" t="s">
        <v>225</v>
      </c>
      <c r="J114" s="460">
        <v>59.24</v>
      </c>
      <c r="K114" s="371">
        <f t="shared" si="7"/>
        <v>200</v>
      </c>
      <c r="L114" s="72">
        <v>200</v>
      </c>
      <c r="M114" s="72"/>
      <c r="N114" s="73" t="e">
        <f t="shared" si="8"/>
        <v>#DIV/0!</v>
      </c>
      <c r="O114" s="73">
        <f t="shared" si="9"/>
        <v>0</v>
      </c>
      <c r="P114" s="74">
        <f>IF(L114="nio",0,IF(L114&gt;0,VLOOKUP(H114,'3-Productie normen'!A:J,VLOOKUP(L114,'3-Productie normen'!$B$33:$C$38,2,FALSE),FALSE)))/VLOOKUP(B114,'2-Kosten per locatie'!$A$12:$C$23,3,FALSE)</f>
        <v>0</v>
      </c>
      <c r="Q114" s="74">
        <f t="shared" si="10"/>
        <v>0</v>
      </c>
      <c r="R114" s="75" t="str">
        <f>VLOOKUP(H114,'3-Productie normen'!A:L,12,FALSE)</f>
        <v>V</v>
      </c>
      <c r="S114" s="75"/>
      <c r="U114" s="41">
        <f t="shared" si="11"/>
        <v>11848</v>
      </c>
    </row>
    <row r="115" spans="1:21" ht="14.1" customHeight="1">
      <c r="A115" s="54">
        <f t="shared" si="6"/>
        <v>115</v>
      </c>
      <c r="B115" s="70" t="s">
        <v>398</v>
      </c>
      <c r="C115" s="70"/>
      <c r="D115" s="416" t="s">
        <v>399</v>
      </c>
      <c r="E115" s="416" t="s">
        <v>89</v>
      </c>
      <c r="F115" s="71">
        <v>9</v>
      </c>
      <c r="G115" s="40" t="s">
        <v>233</v>
      </c>
      <c r="H115" s="40" t="s">
        <v>233</v>
      </c>
      <c r="I115" s="40" t="s">
        <v>225</v>
      </c>
      <c r="J115" s="460">
        <v>49.04</v>
      </c>
      <c r="K115" s="371">
        <f t="shared" si="7"/>
        <v>200</v>
      </c>
      <c r="L115" s="72">
        <v>200</v>
      </c>
      <c r="M115" s="72"/>
      <c r="N115" s="73" t="e">
        <f t="shared" si="8"/>
        <v>#DIV/0!</v>
      </c>
      <c r="O115" s="73">
        <f t="shared" si="9"/>
        <v>0</v>
      </c>
      <c r="P115" s="74">
        <f>IF(L115="nio",0,IF(L115&gt;0,VLOOKUP(H115,'3-Productie normen'!A:J,VLOOKUP(L115,'3-Productie normen'!$B$33:$C$38,2,FALSE),FALSE)))/VLOOKUP(B115,'2-Kosten per locatie'!$A$12:$C$23,3,FALSE)</f>
        <v>0</v>
      </c>
      <c r="Q115" s="74">
        <f t="shared" si="10"/>
        <v>0</v>
      </c>
      <c r="R115" s="75" t="str">
        <f>VLOOKUP(H115,'3-Productie normen'!A:L,12,FALSE)</f>
        <v>L</v>
      </c>
      <c r="S115" s="75"/>
      <c r="U115" s="41">
        <f t="shared" si="11"/>
        <v>9808</v>
      </c>
    </row>
    <row r="116" spans="1:21" ht="14.1" customHeight="1">
      <c r="A116" s="54">
        <f t="shared" si="6"/>
        <v>116</v>
      </c>
      <c r="B116" s="70" t="s">
        <v>398</v>
      </c>
      <c r="C116" s="70"/>
      <c r="D116" s="416" t="s">
        <v>399</v>
      </c>
      <c r="E116" s="416" t="s">
        <v>89</v>
      </c>
      <c r="F116" s="71">
        <v>10</v>
      </c>
      <c r="G116" s="40" t="s">
        <v>249</v>
      </c>
      <c r="H116" s="40" t="s">
        <v>231</v>
      </c>
      <c r="I116" s="40" t="s">
        <v>225</v>
      </c>
      <c r="J116" s="460">
        <v>13.47</v>
      </c>
      <c r="K116" s="371">
        <f t="shared" si="7"/>
        <v>200</v>
      </c>
      <c r="L116" s="72">
        <v>200</v>
      </c>
      <c r="M116" s="72"/>
      <c r="N116" s="73" t="e">
        <f t="shared" si="8"/>
        <v>#DIV/0!</v>
      </c>
      <c r="O116" s="73">
        <f t="shared" si="9"/>
        <v>0</v>
      </c>
      <c r="P116" s="74">
        <f>IF(L116="nio",0,IF(L116&gt;0,VLOOKUP(H116,'3-Productie normen'!A:J,VLOOKUP(L116,'3-Productie normen'!$B$33:$C$38,2,FALSE),FALSE)))/VLOOKUP(B116,'2-Kosten per locatie'!$A$12:$C$23,3,FALSE)</f>
        <v>0</v>
      </c>
      <c r="Q116" s="74">
        <f t="shared" si="10"/>
        <v>0</v>
      </c>
      <c r="R116" s="75" t="str">
        <f>VLOOKUP(H116,'3-Productie normen'!A:L,12,FALSE)</f>
        <v>L</v>
      </c>
      <c r="S116" s="75"/>
      <c r="U116" s="41">
        <f t="shared" si="11"/>
        <v>2694</v>
      </c>
    </row>
    <row r="117" spans="1:21" ht="14.1" customHeight="1">
      <c r="A117" s="54">
        <f t="shared" si="6"/>
        <v>117</v>
      </c>
      <c r="B117" s="70" t="s">
        <v>398</v>
      </c>
      <c r="C117" s="70"/>
      <c r="D117" s="416" t="s">
        <v>399</v>
      </c>
      <c r="E117" s="416" t="s">
        <v>89</v>
      </c>
      <c r="F117" s="71">
        <v>11</v>
      </c>
      <c r="G117" s="40" t="s">
        <v>252</v>
      </c>
      <c r="H117" s="40" t="s">
        <v>101</v>
      </c>
      <c r="I117" s="40" t="s">
        <v>250</v>
      </c>
      <c r="J117" s="460">
        <v>2.86</v>
      </c>
      <c r="K117" s="371">
        <f t="shared" si="7"/>
        <v>0</v>
      </c>
      <c r="L117" s="72" t="s">
        <v>101</v>
      </c>
      <c r="M117" s="72"/>
      <c r="N117" s="73">
        <f t="shared" si="8"/>
        <v>0</v>
      </c>
      <c r="O117" s="73">
        <f t="shared" si="9"/>
        <v>0</v>
      </c>
      <c r="P117" s="74">
        <f>IF(L117="nio",0,IF(L117&gt;0,VLOOKUP(H117,'3-Productie normen'!A:J,VLOOKUP(L117,'3-Productie normen'!$B$33:$C$38,2,FALSE),FALSE)))/VLOOKUP(B117,'2-Kosten per locatie'!$A$12:$C$23,3,FALSE)</f>
        <v>0</v>
      </c>
      <c r="Q117" s="74">
        <f t="shared" si="10"/>
        <v>0</v>
      </c>
      <c r="R117" s="75">
        <f>VLOOKUP(H117,'3-Productie normen'!A:L,12,FALSE)</f>
        <v>0</v>
      </c>
      <c r="S117" s="75"/>
      <c r="U117" s="41">
        <f t="shared" si="11"/>
        <v>0</v>
      </c>
    </row>
    <row r="118" spans="1:21" ht="14.1" customHeight="1">
      <c r="A118" s="54">
        <f t="shared" si="6"/>
        <v>118</v>
      </c>
      <c r="B118" s="70" t="s">
        <v>398</v>
      </c>
      <c r="C118" s="70"/>
      <c r="D118" s="416" t="s">
        <v>399</v>
      </c>
      <c r="E118" s="416" t="s">
        <v>89</v>
      </c>
      <c r="F118" s="71">
        <v>12</v>
      </c>
      <c r="G118" s="40" t="s">
        <v>176</v>
      </c>
      <c r="H118" s="40" t="s">
        <v>176</v>
      </c>
      <c r="I118" s="40" t="s">
        <v>225</v>
      </c>
      <c r="J118" s="464">
        <v>11.65</v>
      </c>
      <c r="K118" s="371">
        <f t="shared" si="7"/>
        <v>200</v>
      </c>
      <c r="L118" s="72">
        <v>200</v>
      </c>
      <c r="M118" s="72"/>
      <c r="N118" s="73" t="e">
        <f t="shared" si="8"/>
        <v>#DIV/0!</v>
      </c>
      <c r="O118" s="73">
        <f t="shared" si="9"/>
        <v>0</v>
      </c>
      <c r="P118" s="74">
        <f>IF(L118="nio",0,IF(L118&gt;0,VLOOKUP(H118,'3-Productie normen'!A:J,VLOOKUP(L118,'3-Productie normen'!$B$33:$C$38,2,FALSE),FALSE)))/VLOOKUP(B118,'2-Kosten per locatie'!$A$12:$C$23,3,FALSE)</f>
        <v>0</v>
      </c>
      <c r="Q118" s="74">
        <f t="shared" si="10"/>
        <v>0</v>
      </c>
      <c r="R118" s="75" t="str">
        <f>VLOOKUP(H118,'3-Productie normen'!A:L,12,FALSE)</f>
        <v>B</v>
      </c>
      <c r="S118" s="75"/>
      <c r="U118" s="41">
        <f t="shared" si="11"/>
        <v>2330</v>
      </c>
    </row>
    <row r="119" spans="1:21" ht="14.1" customHeight="1">
      <c r="A119" s="54">
        <f t="shared" si="6"/>
        <v>119</v>
      </c>
      <c r="B119" s="70" t="s">
        <v>398</v>
      </c>
      <c r="C119" s="70"/>
      <c r="D119" s="417" t="s">
        <v>399</v>
      </c>
      <c r="E119" s="417" t="s">
        <v>89</v>
      </c>
      <c r="F119" s="79" t="s">
        <v>402</v>
      </c>
      <c r="G119" s="80" t="s">
        <v>252</v>
      </c>
      <c r="H119" s="80" t="s">
        <v>101</v>
      </c>
      <c r="I119" s="80" t="s">
        <v>228</v>
      </c>
      <c r="J119" s="460">
        <v>1.91</v>
      </c>
      <c r="K119" s="371">
        <f t="shared" si="7"/>
        <v>0</v>
      </c>
      <c r="L119" s="72" t="s">
        <v>101</v>
      </c>
      <c r="M119" s="72"/>
      <c r="N119" s="73">
        <f t="shared" si="8"/>
        <v>0</v>
      </c>
      <c r="O119" s="73">
        <f t="shared" si="9"/>
        <v>0</v>
      </c>
      <c r="P119" s="74">
        <f>IF(L119="nio",0,IF(L119&gt;0,VLOOKUP(H119,'3-Productie normen'!A:J,VLOOKUP(L119,'3-Productie normen'!$B$33:$C$38,2,FALSE),FALSE)))/VLOOKUP(B119,'2-Kosten per locatie'!$A$12:$C$23,3,FALSE)</f>
        <v>0</v>
      </c>
      <c r="Q119" s="74">
        <f t="shared" si="10"/>
        <v>0</v>
      </c>
      <c r="R119" s="75">
        <f>VLOOKUP(H119,'3-Productie normen'!A:L,12,FALSE)</f>
        <v>0</v>
      </c>
      <c r="S119" s="75"/>
      <c r="U119" s="41">
        <f t="shared" si="11"/>
        <v>0</v>
      </c>
    </row>
    <row r="120" spans="1:21" ht="14.1" customHeight="1">
      <c r="A120" s="54">
        <f t="shared" si="6"/>
        <v>120</v>
      </c>
      <c r="B120" s="70" t="s">
        <v>398</v>
      </c>
      <c r="C120" s="70"/>
      <c r="D120" s="416" t="s">
        <v>399</v>
      </c>
      <c r="E120" s="416" t="s">
        <v>89</v>
      </c>
      <c r="F120" s="71">
        <v>14</v>
      </c>
      <c r="G120" s="40" t="s">
        <v>233</v>
      </c>
      <c r="H120" s="40" t="s">
        <v>233</v>
      </c>
      <c r="I120" s="40" t="s">
        <v>225</v>
      </c>
      <c r="J120" s="460">
        <v>49</v>
      </c>
      <c r="K120" s="371">
        <f t="shared" si="7"/>
        <v>200</v>
      </c>
      <c r="L120" s="72">
        <v>200</v>
      </c>
      <c r="M120" s="72"/>
      <c r="N120" s="73" t="e">
        <f t="shared" si="8"/>
        <v>#DIV/0!</v>
      </c>
      <c r="O120" s="73">
        <f t="shared" si="9"/>
        <v>0</v>
      </c>
      <c r="P120" s="74">
        <f>IF(L120="nio",0,IF(L120&gt;0,VLOOKUP(H120,'3-Productie normen'!A:J,VLOOKUP(L120,'3-Productie normen'!$B$33:$C$38,2,FALSE),FALSE)))/VLOOKUP(B120,'2-Kosten per locatie'!$A$12:$C$23,3,FALSE)</f>
        <v>0</v>
      </c>
      <c r="Q120" s="74">
        <f t="shared" si="10"/>
        <v>0</v>
      </c>
      <c r="R120" s="75" t="str">
        <f>VLOOKUP(H120,'3-Productie normen'!A:L,12,FALSE)</f>
        <v>L</v>
      </c>
      <c r="S120" s="75"/>
      <c r="U120" s="41">
        <f t="shared" si="11"/>
        <v>9800</v>
      </c>
    </row>
    <row r="121" spans="1:21" ht="14.1" customHeight="1">
      <c r="A121" s="54">
        <f t="shared" si="6"/>
        <v>121</v>
      </c>
      <c r="B121" s="70" t="s">
        <v>398</v>
      </c>
      <c r="C121" s="70"/>
      <c r="D121" s="416" t="s">
        <v>399</v>
      </c>
      <c r="E121" s="416" t="s">
        <v>89</v>
      </c>
      <c r="F121" s="71">
        <v>15</v>
      </c>
      <c r="G121" s="40" t="s">
        <v>233</v>
      </c>
      <c r="H121" s="40" t="s">
        <v>233</v>
      </c>
      <c r="I121" s="40" t="s">
        <v>225</v>
      </c>
      <c r="J121" s="460">
        <v>49</v>
      </c>
      <c r="K121" s="371">
        <f t="shared" si="7"/>
        <v>200</v>
      </c>
      <c r="L121" s="72">
        <v>200</v>
      </c>
      <c r="M121" s="72"/>
      <c r="N121" s="73" t="e">
        <f t="shared" si="8"/>
        <v>#DIV/0!</v>
      </c>
      <c r="O121" s="73">
        <f t="shared" si="9"/>
        <v>0</v>
      </c>
      <c r="P121" s="74">
        <f>IF(L121="nio",0,IF(L121&gt;0,VLOOKUP(H121,'3-Productie normen'!A:J,VLOOKUP(L121,'3-Productie normen'!$B$33:$C$38,2,FALSE),FALSE)))/VLOOKUP(B121,'2-Kosten per locatie'!$A$12:$C$23,3,FALSE)</f>
        <v>0</v>
      </c>
      <c r="Q121" s="74">
        <f t="shared" si="10"/>
        <v>0</v>
      </c>
      <c r="R121" s="75" t="str">
        <f>VLOOKUP(H121,'3-Productie normen'!A:L,12,FALSE)</f>
        <v>L</v>
      </c>
      <c r="S121" s="75"/>
      <c r="U121" s="41">
        <f t="shared" si="11"/>
        <v>9800</v>
      </c>
    </row>
    <row r="122" spans="1:21" ht="14.1" customHeight="1">
      <c r="A122" s="54">
        <f t="shared" si="6"/>
        <v>122</v>
      </c>
      <c r="B122" s="70" t="s">
        <v>398</v>
      </c>
      <c r="C122" s="70"/>
      <c r="D122" s="416" t="s">
        <v>399</v>
      </c>
      <c r="E122" s="416" t="s">
        <v>89</v>
      </c>
      <c r="F122" s="71">
        <v>16</v>
      </c>
      <c r="G122" s="40" t="s">
        <v>403</v>
      </c>
      <c r="H122" s="40" t="s">
        <v>244</v>
      </c>
      <c r="I122" s="40" t="s">
        <v>225</v>
      </c>
      <c r="J122" s="460">
        <v>87.98</v>
      </c>
      <c r="K122" s="371">
        <f t="shared" si="7"/>
        <v>200</v>
      </c>
      <c r="L122" s="72">
        <v>200</v>
      </c>
      <c r="M122" s="72"/>
      <c r="N122" s="73" t="e">
        <f t="shared" si="8"/>
        <v>#DIV/0!</v>
      </c>
      <c r="O122" s="73">
        <f t="shared" si="9"/>
        <v>0</v>
      </c>
      <c r="P122" s="74">
        <f>IF(L122="nio",0,IF(L122&gt;0,VLOOKUP(H122,'3-Productie normen'!A:J,VLOOKUP(L122,'3-Productie normen'!$B$33:$C$38,2,FALSE),FALSE)))/VLOOKUP(B122,'2-Kosten per locatie'!$A$12:$C$23,3,FALSE)</f>
        <v>0</v>
      </c>
      <c r="Q122" s="74">
        <f t="shared" si="10"/>
        <v>0</v>
      </c>
      <c r="R122" s="75" t="str">
        <f>VLOOKUP(H122,'3-Productie normen'!A:L,12,FALSE)</f>
        <v>S</v>
      </c>
      <c r="S122" s="75"/>
      <c r="U122" s="41">
        <f t="shared" si="11"/>
        <v>17596</v>
      </c>
    </row>
    <row r="123" spans="1:21" ht="14.1" customHeight="1">
      <c r="A123" s="54">
        <f t="shared" si="6"/>
        <v>123</v>
      </c>
      <c r="B123" s="70" t="s">
        <v>398</v>
      </c>
      <c r="C123" s="70"/>
      <c r="D123" s="416" t="s">
        <v>399</v>
      </c>
      <c r="E123" s="416" t="s">
        <v>89</v>
      </c>
      <c r="F123" s="71">
        <v>17</v>
      </c>
      <c r="G123" s="40" t="s">
        <v>226</v>
      </c>
      <c r="H123" s="40" t="s">
        <v>226</v>
      </c>
      <c r="I123" s="40" t="s">
        <v>229</v>
      </c>
      <c r="J123" s="460">
        <v>1.6</v>
      </c>
      <c r="K123" s="371">
        <f t="shared" si="7"/>
        <v>200</v>
      </c>
      <c r="L123" s="72">
        <v>200</v>
      </c>
      <c r="M123" s="72"/>
      <c r="N123" s="73" t="e">
        <f t="shared" si="8"/>
        <v>#DIV/0!</v>
      </c>
      <c r="O123" s="73">
        <f t="shared" si="9"/>
        <v>0</v>
      </c>
      <c r="P123" s="74">
        <f>IF(L123="nio",0,IF(L123&gt;0,VLOOKUP(H123,'3-Productie normen'!A:J,VLOOKUP(L123,'3-Productie normen'!$B$33:$C$38,2,FALSE),FALSE)))/VLOOKUP(B123,'2-Kosten per locatie'!$A$12:$C$23,3,FALSE)</f>
        <v>0</v>
      </c>
      <c r="Q123" s="74">
        <f t="shared" si="10"/>
        <v>0</v>
      </c>
      <c r="R123" s="75" t="str">
        <f>VLOOKUP(H123,'3-Productie normen'!A:L,12,FALSE)</f>
        <v>V</v>
      </c>
      <c r="S123" s="75"/>
      <c r="U123" s="41">
        <f t="shared" si="11"/>
        <v>320</v>
      </c>
    </row>
    <row r="124" spans="1:21" ht="14.1" customHeight="1">
      <c r="A124" s="54">
        <f t="shared" si="6"/>
        <v>124</v>
      </c>
      <c r="B124" s="70" t="s">
        <v>398</v>
      </c>
      <c r="C124" s="70"/>
      <c r="D124" s="416" t="s">
        <v>399</v>
      </c>
      <c r="E124" s="416" t="s">
        <v>89</v>
      </c>
      <c r="F124" s="71">
        <v>18</v>
      </c>
      <c r="G124" s="40" t="s">
        <v>252</v>
      </c>
      <c r="H124" s="40" t="s">
        <v>101</v>
      </c>
      <c r="I124" s="40" t="s">
        <v>225</v>
      </c>
      <c r="J124" s="460">
        <v>6.13</v>
      </c>
      <c r="K124" s="371">
        <f t="shared" si="7"/>
        <v>0</v>
      </c>
      <c r="L124" s="72" t="s">
        <v>101</v>
      </c>
      <c r="M124" s="72"/>
      <c r="N124" s="73">
        <f t="shared" si="8"/>
        <v>0</v>
      </c>
      <c r="O124" s="73">
        <f t="shared" si="9"/>
        <v>0</v>
      </c>
      <c r="P124" s="74">
        <f>IF(L124="nio",0,IF(L124&gt;0,VLOOKUP(H124,'3-Productie normen'!A:J,VLOOKUP(L124,'3-Productie normen'!$B$33:$C$38,2,FALSE),FALSE)))/VLOOKUP(B124,'2-Kosten per locatie'!$A$12:$C$23,3,FALSE)</f>
        <v>0</v>
      </c>
      <c r="Q124" s="74">
        <f t="shared" si="10"/>
        <v>0</v>
      </c>
      <c r="R124" s="75">
        <f>VLOOKUP(H124,'3-Productie normen'!A:L,12,FALSE)</f>
        <v>0</v>
      </c>
      <c r="S124" s="75"/>
      <c r="U124" s="41">
        <f t="shared" si="11"/>
        <v>0</v>
      </c>
    </row>
    <row r="125" spans="1:21" ht="14.1" customHeight="1">
      <c r="A125" s="54">
        <f t="shared" si="6"/>
        <v>125</v>
      </c>
      <c r="B125" s="70" t="s">
        <v>398</v>
      </c>
      <c r="C125" s="70"/>
      <c r="D125" s="416" t="s">
        <v>399</v>
      </c>
      <c r="E125" s="416" t="s">
        <v>89</v>
      </c>
      <c r="F125" s="71">
        <v>19</v>
      </c>
      <c r="G125" s="40" t="s">
        <v>17</v>
      </c>
      <c r="H125" s="40" t="s">
        <v>17</v>
      </c>
      <c r="I125" s="40" t="s">
        <v>250</v>
      </c>
      <c r="J125" s="460">
        <v>8.51</v>
      </c>
      <c r="K125" s="371">
        <f t="shared" si="7"/>
        <v>200</v>
      </c>
      <c r="L125" s="72">
        <v>200</v>
      </c>
      <c r="M125" s="72"/>
      <c r="N125" s="73" t="e">
        <f t="shared" si="8"/>
        <v>#DIV/0!</v>
      </c>
      <c r="O125" s="73">
        <f t="shared" si="9"/>
        <v>0</v>
      </c>
      <c r="P125" s="74">
        <f>IF(L125="nio",0,IF(L125&gt;0,VLOOKUP(H125,'3-Productie normen'!A:J,VLOOKUP(L125,'3-Productie normen'!$B$33:$C$38,2,FALSE),FALSE)))/VLOOKUP(B125,'2-Kosten per locatie'!$A$12:$C$23,3,FALSE)</f>
        <v>0</v>
      </c>
      <c r="Q125" s="74">
        <f t="shared" si="10"/>
        <v>0</v>
      </c>
      <c r="R125" s="75" t="str">
        <f>VLOOKUP(H125,'3-Productie normen'!A:L,12,FALSE)</f>
        <v>S</v>
      </c>
      <c r="S125" s="75"/>
      <c r="U125" s="41">
        <f t="shared" si="11"/>
        <v>1702</v>
      </c>
    </row>
    <row r="126" spans="1:21" ht="14.1" customHeight="1">
      <c r="A126" s="54">
        <f t="shared" si="6"/>
        <v>126</v>
      </c>
      <c r="B126" s="70" t="s">
        <v>398</v>
      </c>
      <c r="C126" s="70"/>
      <c r="D126" s="416" t="s">
        <v>399</v>
      </c>
      <c r="E126" s="416" t="s">
        <v>89</v>
      </c>
      <c r="F126" s="71">
        <v>20</v>
      </c>
      <c r="G126" s="40" t="s">
        <v>252</v>
      </c>
      <c r="H126" s="40" t="s">
        <v>101</v>
      </c>
      <c r="I126" s="40" t="s">
        <v>228</v>
      </c>
      <c r="J126" s="460">
        <v>4.4000000000000004</v>
      </c>
      <c r="K126" s="371">
        <f t="shared" si="7"/>
        <v>0</v>
      </c>
      <c r="L126" s="72" t="s">
        <v>101</v>
      </c>
      <c r="M126" s="72"/>
      <c r="N126" s="73">
        <f t="shared" si="8"/>
        <v>0</v>
      </c>
      <c r="O126" s="73">
        <f t="shared" si="9"/>
        <v>0</v>
      </c>
      <c r="P126" s="74">
        <f>IF(L126="nio",0,IF(L126&gt;0,VLOOKUP(H126,'3-Productie normen'!A:J,VLOOKUP(L126,'3-Productie normen'!$B$33:$C$38,2,FALSE),FALSE)))/VLOOKUP(B126,'2-Kosten per locatie'!$A$12:$C$23,3,FALSE)</f>
        <v>0</v>
      </c>
      <c r="Q126" s="74">
        <f t="shared" si="10"/>
        <v>0</v>
      </c>
      <c r="R126" s="75">
        <f>VLOOKUP(H126,'3-Productie normen'!A:L,12,FALSE)</f>
        <v>0</v>
      </c>
      <c r="S126" s="75"/>
      <c r="U126" s="41">
        <f t="shared" si="11"/>
        <v>0</v>
      </c>
    </row>
    <row r="127" spans="1:21" ht="14.1" customHeight="1">
      <c r="A127" s="54">
        <f t="shared" si="6"/>
        <v>127</v>
      </c>
      <c r="B127" s="70" t="s">
        <v>398</v>
      </c>
      <c r="C127" s="70"/>
      <c r="D127" s="416" t="s">
        <v>399</v>
      </c>
      <c r="E127" s="416" t="s">
        <v>89</v>
      </c>
      <c r="F127" s="71">
        <v>21</v>
      </c>
      <c r="G127" s="40" t="s">
        <v>247</v>
      </c>
      <c r="H127" s="40" t="s">
        <v>90</v>
      </c>
      <c r="I127" s="40" t="s">
        <v>227</v>
      </c>
      <c r="J127" s="460">
        <v>5.13</v>
      </c>
      <c r="K127" s="371">
        <f t="shared" si="7"/>
        <v>200</v>
      </c>
      <c r="L127" s="72">
        <v>200</v>
      </c>
      <c r="M127" s="72"/>
      <c r="N127" s="73" t="e">
        <f t="shared" si="8"/>
        <v>#DIV/0!</v>
      </c>
      <c r="O127" s="73">
        <f t="shared" si="9"/>
        <v>0</v>
      </c>
      <c r="P127" s="74">
        <f>IF(L127="nio",0,IF(L127&gt;0,VLOOKUP(H127,'3-Productie normen'!A:J,VLOOKUP(L127,'3-Productie normen'!$B$33:$C$38,2,FALSE),FALSE)))/VLOOKUP(B127,'2-Kosten per locatie'!$A$12:$C$23,3,FALSE)</f>
        <v>0</v>
      </c>
      <c r="Q127" s="74">
        <f t="shared" si="10"/>
        <v>0</v>
      </c>
      <c r="R127" s="75" t="str">
        <f>VLOOKUP(H127,'3-Productie normen'!A:L,12,FALSE)</f>
        <v>V</v>
      </c>
      <c r="S127" s="75"/>
      <c r="U127" s="41">
        <f t="shared" si="11"/>
        <v>1026</v>
      </c>
    </row>
    <row r="128" spans="1:21" ht="14.1" customHeight="1">
      <c r="A128" s="54">
        <f t="shared" si="6"/>
        <v>128</v>
      </c>
      <c r="B128" s="70" t="s">
        <v>398</v>
      </c>
      <c r="C128" s="70"/>
      <c r="D128" s="416" t="s">
        <v>399</v>
      </c>
      <c r="E128" s="416" t="s">
        <v>89</v>
      </c>
      <c r="F128" s="71">
        <v>22</v>
      </c>
      <c r="G128" s="40" t="s">
        <v>248</v>
      </c>
      <c r="H128" s="40" t="s">
        <v>232</v>
      </c>
      <c r="I128" s="40" t="s">
        <v>225</v>
      </c>
      <c r="J128" s="460">
        <v>2.8</v>
      </c>
      <c r="K128" s="371">
        <f t="shared" si="7"/>
        <v>200</v>
      </c>
      <c r="L128" s="72">
        <v>200</v>
      </c>
      <c r="M128" s="72"/>
      <c r="N128" s="73" t="e">
        <f t="shared" si="8"/>
        <v>#DIV/0!</v>
      </c>
      <c r="O128" s="73">
        <f t="shared" si="9"/>
        <v>0</v>
      </c>
      <c r="P128" s="74">
        <f>IF(L128="nio",0,IF(L128&gt;0,VLOOKUP(H128,'3-Productie normen'!A:J,VLOOKUP(L128,'3-Productie normen'!$B$33:$C$38,2,FALSE),FALSE)))/VLOOKUP(B128,'2-Kosten per locatie'!$A$12:$C$23,3,FALSE)</f>
        <v>0</v>
      </c>
      <c r="Q128" s="74">
        <f t="shared" si="10"/>
        <v>0</v>
      </c>
      <c r="R128" s="75" t="str">
        <f>VLOOKUP(H128,'3-Productie normen'!A:L,12,FALSE)</f>
        <v>V</v>
      </c>
      <c r="S128" s="75"/>
      <c r="U128" s="41">
        <f t="shared" si="11"/>
        <v>560</v>
      </c>
    </row>
    <row r="129" spans="1:21" ht="14.1" customHeight="1">
      <c r="A129" s="54">
        <f t="shared" si="6"/>
        <v>129</v>
      </c>
      <c r="B129" s="70" t="s">
        <v>398</v>
      </c>
      <c r="C129" s="70"/>
      <c r="D129" s="416" t="s">
        <v>399</v>
      </c>
      <c r="E129" s="416" t="s">
        <v>89</v>
      </c>
      <c r="F129" s="71">
        <v>23</v>
      </c>
      <c r="G129" s="40" t="s">
        <v>226</v>
      </c>
      <c r="H129" s="40" t="s">
        <v>226</v>
      </c>
      <c r="I129" s="40" t="s">
        <v>234</v>
      </c>
      <c r="J129" s="460">
        <v>9</v>
      </c>
      <c r="K129" s="371">
        <f t="shared" si="7"/>
        <v>200</v>
      </c>
      <c r="L129" s="72">
        <v>200</v>
      </c>
      <c r="M129" s="72"/>
      <c r="N129" s="73" t="e">
        <f t="shared" si="8"/>
        <v>#DIV/0!</v>
      </c>
      <c r="O129" s="73">
        <f t="shared" si="9"/>
        <v>0</v>
      </c>
      <c r="P129" s="74">
        <f>IF(L129="nio",0,IF(L129&gt;0,VLOOKUP(H129,'3-Productie normen'!A:J,VLOOKUP(L129,'3-Productie normen'!$B$33:$C$38,2,FALSE),FALSE)))/VLOOKUP(B129,'2-Kosten per locatie'!$A$12:$C$23,3,FALSE)</f>
        <v>0</v>
      </c>
      <c r="Q129" s="74">
        <f t="shared" si="10"/>
        <v>0</v>
      </c>
      <c r="R129" s="75" t="str">
        <f>VLOOKUP(H129,'3-Productie normen'!A:L,12,FALSE)</f>
        <v>V</v>
      </c>
      <c r="S129" s="75"/>
      <c r="U129" s="41">
        <f t="shared" si="11"/>
        <v>1800</v>
      </c>
    </row>
    <row r="130" spans="1:21" ht="14.1" customHeight="1">
      <c r="A130" s="54">
        <f t="shared" si="6"/>
        <v>130</v>
      </c>
      <c r="B130" s="70" t="s">
        <v>398</v>
      </c>
      <c r="C130" s="70"/>
      <c r="D130" s="416" t="s">
        <v>399</v>
      </c>
      <c r="E130" s="416" t="s">
        <v>89</v>
      </c>
      <c r="F130" s="71">
        <v>24</v>
      </c>
      <c r="G130" s="40" t="s">
        <v>252</v>
      </c>
      <c r="H130" s="40" t="s">
        <v>101</v>
      </c>
      <c r="I130" s="40" t="s">
        <v>225</v>
      </c>
      <c r="J130" s="460">
        <v>6.54</v>
      </c>
      <c r="K130" s="371">
        <f t="shared" si="7"/>
        <v>0</v>
      </c>
      <c r="L130" s="72" t="s">
        <v>101</v>
      </c>
      <c r="M130" s="72"/>
      <c r="N130" s="73">
        <f t="shared" si="8"/>
        <v>0</v>
      </c>
      <c r="O130" s="73">
        <f t="shared" si="9"/>
        <v>0</v>
      </c>
      <c r="P130" s="74">
        <f>IF(L130="nio",0,IF(L130&gt;0,VLOOKUP(H130,'3-Productie normen'!A:J,VLOOKUP(L130,'3-Productie normen'!$B$33:$C$38,2,FALSE),FALSE)))/VLOOKUP(B130,'2-Kosten per locatie'!$A$12:$C$23,3,FALSE)</f>
        <v>0</v>
      </c>
      <c r="Q130" s="74">
        <f t="shared" si="10"/>
        <v>0</v>
      </c>
      <c r="R130" s="75">
        <f>VLOOKUP(H130,'3-Productie normen'!A:L,12,FALSE)</f>
        <v>0</v>
      </c>
      <c r="S130" s="75"/>
      <c r="U130" s="41">
        <f t="shared" si="11"/>
        <v>0</v>
      </c>
    </row>
    <row r="131" spans="1:21" ht="14.1" customHeight="1">
      <c r="A131" s="54">
        <f t="shared" ref="A131:A194" si="12">A130+1</f>
        <v>131</v>
      </c>
      <c r="B131" s="70" t="s">
        <v>398</v>
      </c>
      <c r="C131" s="70"/>
      <c r="D131" s="416" t="s">
        <v>399</v>
      </c>
      <c r="E131" s="416">
        <v>1</v>
      </c>
      <c r="F131" s="71">
        <v>25</v>
      </c>
      <c r="G131" s="40" t="s">
        <v>252</v>
      </c>
      <c r="H131" s="40" t="s">
        <v>101</v>
      </c>
      <c r="I131" s="40" t="s">
        <v>225</v>
      </c>
      <c r="J131" s="460">
        <v>10.82</v>
      </c>
      <c r="K131" s="371">
        <f t="shared" si="7"/>
        <v>0</v>
      </c>
      <c r="L131" s="72" t="s">
        <v>101</v>
      </c>
      <c r="M131" s="72"/>
      <c r="N131" s="73">
        <f t="shared" si="8"/>
        <v>0</v>
      </c>
      <c r="O131" s="73">
        <f t="shared" si="9"/>
        <v>0</v>
      </c>
      <c r="P131" s="74">
        <f>IF(L131="nio",0,IF(L131&gt;0,VLOOKUP(H131,'3-Productie normen'!A:J,VLOOKUP(L131,'3-Productie normen'!$B$33:$C$38,2,FALSE),FALSE)))/VLOOKUP(B131,'2-Kosten per locatie'!$A$12:$C$23,3,FALSE)</f>
        <v>0</v>
      </c>
      <c r="Q131" s="74">
        <f t="shared" si="10"/>
        <v>0</v>
      </c>
      <c r="R131" s="75">
        <f>VLOOKUP(H131,'3-Productie normen'!A:L,12,FALSE)</f>
        <v>0</v>
      </c>
      <c r="S131" s="75"/>
      <c r="U131" s="41">
        <f t="shared" si="11"/>
        <v>0</v>
      </c>
    </row>
    <row r="132" spans="1:21" ht="14.1" customHeight="1">
      <c r="A132" s="54">
        <f t="shared" si="12"/>
        <v>132</v>
      </c>
      <c r="B132" s="70" t="s">
        <v>398</v>
      </c>
      <c r="C132" s="70"/>
      <c r="D132" s="416" t="s">
        <v>399</v>
      </c>
      <c r="E132" s="416">
        <v>1</v>
      </c>
      <c r="F132" s="71">
        <v>26</v>
      </c>
      <c r="G132" s="40" t="s">
        <v>248</v>
      </c>
      <c r="H132" s="40" t="s">
        <v>232</v>
      </c>
      <c r="I132" s="40" t="s">
        <v>225</v>
      </c>
      <c r="J132" s="460">
        <v>9.5500000000000007</v>
      </c>
      <c r="K132" s="371">
        <f t="shared" si="7"/>
        <v>200</v>
      </c>
      <c r="L132" s="72">
        <v>200</v>
      </c>
      <c r="M132" s="72"/>
      <c r="N132" s="73" t="e">
        <f t="shared" si="8"/>
        <v>#DIV/0!</v>
      </c>
      <c r="O132" s="73">
        <f t="shared" si="9"/>
        <v>0</v>
      </c>
      <c r="P132" s="74">
        <f>IF(L132="nio",0,IF(L132&gt;0,VLOOKUP(H132,'3-Productie normen'!A:J,VLOOKUP(L132,'3-Productie normen'!$B$33:$C$38,2,FALSE),FALSE)))/VLOOKUP(B132,'2-Kosten per locatie'!$A$12:$C$23,3,FALSE)</f>
        <v>0</v>
      </c>
      <c r="Q132" s="74">
        <f t="shared" si="10"/>
        <v>0</v>
      </c>
      <c r="R132" s="75" t="str">
        <f>VLOOKUP(H132,'3-Productie normen'!A:L,12,FALSE)</f>
        <v>V</v>
      </c>
      <c r="S132" s="75"/>
      <c r="U132" s="41">
        <f t="shared" si="11"/>
        <v>1910.0000000000002</v>
      </c>
    </row>
    <row r="133" spans="1:21" ht="14.1" customHeight="1">
      <c r="A133" s="54">
        <f t="shared" si="12"/>
        <v>133</v>
      </c>
      <c r="B133" s="70" t="s">
        <v>398</v>
      </c>
      <c r="C133" s="70"/>
      <c r="D133" s="416" t="s">
        <v>399</v>
      </c>
      <c r="E133" s="416">
        <v>1</v>
      </c>
      <c r="F133" s="71">
        <v>27</v>
      </c>
      <c r="G133" s="40" t="s">
        <v>17</v>
      </c>
      <c r="H133" s="40" t="s">
        <v>17</v>
      </c>
      <c r="I133" s="40" t="s">
        <v>250</v>
      </c>
      <c r="J133" s="460">
        <v>4.72</v>
      </c>
      <c r="K133" s="371">
        <f t="shared" si="7"/>
        <v>200</v>
      </c>
      <c r="L133" s="72">
        <v>200</v>
      </c>
      <c r="M133" s="72"/>
      <c r="N133" s="73" t="e">
        <f t="shared" si="8"/>
        <v>#DIV/0!</v>
      </c>
      <c r="O133" s="73">
        <f t="shared" si="9"/>
        <v>0</v>
      </c>
      <c r="P133" s="74">
        <f>IF(L133="nio",0,IF(L133&gt;0,VLOOKUP(H133,'3-Productie normen'!A:J,VLOOKUP(L133,'3-Productie normen'!$B$33:$C$38,2,FALSE),FALSE)))/VLOOKUP(B133,'2-Kosten per locatie'!$A$12:$C$23,3,FALSE)</f>
        <v>0</v>
      </c>
      <c r="Q133" s="74">
        <f t="shared" si="10"/>
        <v>0</v>
      </c>
      <c r="R133" s="75" t="str">
        <f>VLOOKUP(H133,'3-Productie normen'!A:L,12,FALSE)</f>
        <v>S</v>
      </c>
      <c r="S133" s="75"/>
      <c r="U133" s="41">
        <f t="shared" si="11"/>
        <v>944</v>
      </c>
    </row>
    <row r="134" spans="1:21" ht="14.1" customHeight="1">
      <c r="A134" s="54">
        <f t="shared" si="12"/>
        <v>134</v>
      </c>
      <c r="B134" s="70" t="s">
        <v>398</v>
      </c>
      <c r="C134" s="70"/>
      <c r="D134" s="416" t="s">
        <v>399</v>
      </c>
      <c r="E134" s="416">
        <v>1</v>
      </c>
      <c r="F134" s="71">
        <v>28</v>
      </c>
      <c r="G134" s="40" t="s">
        <v>248</v>
      </c>
      <c r="H134" s="40" t="s">
        <v>232</v>
      </c>
      <c r="I134" s="40" t="s">
        <v>225</v>
      </c>
      <c r="J134" s="460">
        <v>118.48</v>
      </c>
      <c r="K134" s="371">
        <f t="shared" si="7"/>
        <v>200</v>
      </c>
      <c r="L134" s="72">
        <v>200</v>
      </c>
      <c r="M134" s="72"/>
      <c r="N134" s="73" t="e">
        <f t="shared" si="8"/>
        <v>#DIV/0!</v>
      </c>
      <c r="O134" s="73">
        <f t="shared" si="9"/>
        <v>0</v>
      </c>
      <c r="P134" s="74">
        <f>IF(L134="nio",0,IF(L134&gt;0,VLOOKUP(H134,'3-Productie normen'!A:J,VLOOKUP(L134,'3-Productie normen'!$B$33:$C$38,2,FALSE),FALSE)))/VLOOKUP(B134,'2-Kosten per locatie'!$A$12:$C$23,3,FALSE)</f>
        <v>0</v>
      </c>
      <c r="Q134" s="74">
        <f t="shared" si="10"/>
        <v>0</v>
      </c>
      <c r="R134" s="75" t="str">
        <f>VLOOKUP(H134,'3-Productie normen'!A:L,12,FALSE)</f>
        <v>V</v>
      </c>
      <c r="S134" s="75"/>
      <c r="U134" s="41">
        <f t="shared" si="11"/>
        <v>23696</v>
      </c>
    </row>
    <row r="135" spans="1:21" ht="14.1" customHeight="1">
      <c r="A135" s="54">
        <f t="shared" si="12"/>
        <v>135</v>
      </c>
      <c r="B135" s="70" t="s">
        <v>398</v>
      </c>
      <c r="C135" s="70"/>
      <c r="D135" s="416" t="s">
        <v>399</v>
      </c>
      <c r="E135" s="416">
        <v>1</v>
      </c>
      <c r="F135" s="71">
        <v>29</v>
      </c>
      <c r="G135" s="40" t="s">
        <v>176</v>
      </c>
      <c r="H135" s="40" t="s">
        <v>176</v>
      </c>
      <c r="I135" s="40" t="s">
        <v>225</v>
      </c>
      <c r="J135" s="460">
        <v>11.85</v>
      </c>
      <c r="K135" s="371">
        <f t="shared" si="7"/>
        <v>200</v>
      </c>
      <c r="L135" s="72">
        <v>200</v>
      </c>
      <c r="M135" s="72"/>
      <c r="N135" s="73" t="e">
        <f t="shared" si="8"/>
        <v>#DIV/0!</v>
      </c>
      <c r="O135" s="73">
        <f t="shared" si="9"/>
        <v>0</v>
      </c>
      <c r="P135" s="74">
        <f>IF(L135="nio",0,IF(L135&gt;0,VLOOKUP(H135,'3-Productie normen'!A:J,VLOOKUP(L135,'3-Productie normen'!$B$33:$C$38,2,FALSE),FALSE)))/VLOOKUP(B135,'2-Kosten per locatie'!$A$12:$C$23,3,FALSE)</f>
        <v>0</v>
      </c>
      <c r="Q135" s="74">
        <f t="shared" si="10"/>
        <v>0</v>
      </c>
      <c r="R135" s="75" t="str">
        <f>VLOOKUP(H135,'3-Productie normen'!A:L,12,FALSE)</f>
        <v>B</v>
      </c>
      <c r="S135" s="75"/>
      <c r="U135" s="41">
        <f t="shared" si="11"/>
        <v>2370</v>
      </c>
    </row>
    <row r="136" spans="1:21" ht="14.1" customHeight="1">
      <c r="A136" s="54">
        <f t="shared" si="12"/>
        <v>136</v>
      </c>
      <c r="B136" s="70" t="s">
        <v>398</v>
      </c>
      <c r="C136" s="70"/>
      <c r="D136" s="416" t="s">
        <v>399</v>
      </c>
      <c r="E136" s="416">
        <v>1</v>
      </c>
      <c r="F136" s="71">
        <v>30</v>
      </c>
      <c r="G136" s="40" t="s">
        <v>176</v>
      </c>
      <c r="H136" s="40" t="s">
        <v>176</v>
      </c>
      <c r="I136" s="40" t="s">
        <v>225</v>
      </c>
      <c r="J136" s="460">
        <v>22.12</v>
      </c>
      <c r="K136" s="371">
        <f t="shared" si="7"/>
        <v>200</v>
      </c>
      <c r="L136" s="72">
        <v>200</v>
      </c>
      <c r="M136" s="72"/>
      <c r="N136" s="73" t="e">
        <f t="shared" si="8"/>
        <v>#DIV/0!</v>
      </c>
      <c r="O136" s="73">
        <f t="shared" si="9"/>
        <v>0</v>
      </c>
      <c r="P136" s="74">
        <f>IF(L136="nio",0,IF(L136&gt;0,VLOOKUP(H136,'3-Productie normen'!A:J,VLOOKUP(L136,'3-Productie normen'!$B$33:$C$38,2,FALSE),FALSE)))/VLOOKUP(B136,'2-Kosten per locatie'!$A$12:$C$23,3,FALSE)</f>
        <v>0</v>
      </c>
      <c r="Q136" s="74">
        <f t="shared" si="10"/>
        <v>0</v>
      </c>
      <c r="R136" s="75" t="str">
        <f>VLOOKUP(H136,'3-Productie normen'!A:L,12,FALSE)</f>
        <v>B</v>
      </c>
      <c r="S136" s="75"/>
      <c r="U136" s="41">
        <f t="shared" si="11"/>
        <v>4424</v>
      </c>
    </row>
    <row r="137" spans="1:21" ht="14.1" customHeight="1">
      <c r="A137" s="54">
        <f t="shared" si="12"/>
        <v>137</v>
      </c>
      <c r="B137" s="70" t="s">
        <v>398</v>
      </c>
      <c r="C137" s="70"/>
      <c r="D137" s="416" t="s">
        <v>399</v>
      </c>
      <c r="E137" s="416">
        <v>1</v>
      </c>
      <c r="F137" s="71">
        <v>31</v>
      </c>
      <c r="G137" s="40" t="s">
        <v>233</v>
      </c>
      <c r="H137" s="40" t="s">
        <v>233</v>
      </c>
      <c r="I137" s="40" t="s">
        <v>225</v>
      </c>
      <c r="J137" s="460">
        <v>49</v>
      </c>
      <c r="K137" s="371">
        <f t="shared" si="7"/>
        <v>200</v>
      </c>
      <c r="L137" s="72">
        <v>200</v>
      </c>
      <c r="M137" s="72"/>
      <c r="N137" s="73" t="e">
        <f t="shared" si="8"/>
        <v>#DIV/0!</v>
      </c>
      <c r="O137" s="73">
        <f t="shared" si="9"/>
        <v>0</v>
      </c>
      <c r="P137" s="74">
        <f>IF(L137="nio",0,IF(L137&gt;0,VLOOKUP(H137,'3-Productie normen'!A:J,VLOOKUP(L137,'3-Productie normen'!$B$33:$C$38,2,FALSE),FALSE)))/VLOOKUP(B137,'2-Kosten per locatie'!$A$12:$C$23,3,FALSE)</f>
        <v>0</v>
      </c>
      <c r="Q137" s="74">
        <f t="shared" si="10"/>
        <v>0</v>
      </c>
      <c r="R137" s="75" t="str">
        <f>VLOOKUP(H137,'3-Productie normen'!A:L,12,FALSE)</f>
        <v>L</v>
      </c>
      <c r="S137" s="75"/>
      <c r="U137" s="41">
        <f t="shared" si="11"/>
        <v>9800</v>
      </c>
    </row>
    <row r="138" spans="1:21" ht="14.1" customHeight="1">
      <c r="A138" s="54">
        <f t="shared" si="12"/>
        <v>138</v>
      </c>
      <c r="B138" s="70" t="s">
        <v>398</v>
      </c>
      <c r="C138" s="70"/>
      <c r="D138" s="416" t="s">
        <v>399</v>
      </c>
      <c r="E138" s="416">
        <v>1</v>
      </c>
      <c r="F138" s="71">
        <v>32</v>
      </c>
      <c r="G138" s="40" t="s">
        <v>233</v>
      </c>
      <c r="H138" s="40" t="s">
        <v>233</v>
      </c>
      <c r="I138" s="40" t="s">
        <v>225</v>
      </c>
      <c r="J138" s="460">
        <v>49</v>
      </c>
      <c r="K138" s="371">
        <f t="shared" ref="K138:K201" si="13">SUM(L138:M138)</f>
        <v>200</v>
      </c>
      <c r="L138" s="72">
        <v>200</v>
      </c>
      <c r="M138" s="72"/>
      <c r="N138" s="73" t="e">
        <f t="shared" ref="N138:N201" si="14">IF(L138="nio",0,IF(L138&gt;0,L138*J138/P138,0))</f>
        <v>#DIV/0!</v>
      </c>
      <c r="O138" s="73">
        <f t="shared" ref="O138:O201" si="15">IF(M138&gt;0,M138*J138/Q138,0)</f>
        <v>0</v>
      </c>
      <c r="P138" s="74">
        <f>IF(L138="nio",0,IF(L138&gt;0,VLOOKUP(H138,'3-Productie normen'!A:J,VLOOKUP(L138,'3-Productie normen'!$B$33:$C$38,2,FALSE),FALSE)))/VLOOKUP(B138,'2-Kosten per locatie'!$A$12:$C$23,3,FALSE)</f>
        <v>0</v>
      </c>
      <c r="Q138" s="74">
        <f t="shared" ref="Q138:Q201" si="16">IF(M138&gt;0,P138*$Q$8,0)</f>
        <v>0</v>
      </c>
      <c r="R138" s="75" t="str">
        <f>VLOOKUP(H138,'3-Productie normen'!A:L,12,FALSE)</f>
        <v>L</v>
      </c>
      <c r="S138" s="75"/>
      <c r="U138" s="41">
        <f t="shared" ref="U138:U201" si="17">K138*J138</f>
        <v>9800</v>
      </c>
    </row>
    <row r="139" spans="1:21" ht="14.1" customHeight="1">
      <c r="A139" s="54">
        <f t="shared" si="12"/>
        <v>139</v>
      </c>
      <c r="B139" s="70" t="s">
        <v>398</v>
      </c>
      <c r="C139" s="70"/>
      <c r="D139" s="416" t="s">
        <v>399</v>
      </c>
      <c r="E139" s="416">
        <v>1</v>
      </c>
      <c r="F139" s="71">
        <v>33</v>
      </c>
      <c r="G139" s="40" t="s">
        <v>233</v>
      </c>
      <c r="H139" s="40" t="s">
        <v>233</v>
      </c>
      <c r="I139" s="40" t="s">
        <v>225</v>
      </c>
      <c r="J139" s="460">
        <v>49</v>
      </c>
      <c r="K139" s="371">
        <f t="shared" si="13"/>
        <v>200</v>
      </c>
      <c r="L139" s="72">
        <v>200</v>
      </c>
      <c r="M139" s="72"/>
      <c r="N139" s="73" t="e">
        <f t="shared" si="14"/>
        <v>#DIV/0!</v>
      </c>
      <c r="O139" s="73">
        <f t="shared" si="15"/>
        <v>0</v>
      </c>
      <c r="P139" s="74">
        <f>IF(L139="nio",0,IF(L139&gt;0,VLOOKUP(H139,'3-Productie normen'!A:J,VLOOKUP(L139,'3-Productie normen'!$B$33:$C$38,2,FALSE),FALSE)))/VLOOKUP(B139,'2-Kosten per locatie'!$A$12:$C$23,3,FALSE)</f>
        <v>0</v>
      </c>
      <c r="Q139" s="74">
        <f t="shared" si="16"/>
        <v>0</v>
      </c>
      <c r="R139" s="75" t="str">
        <f>VLOOKUP(H139,'3-Productie normen'!A:L,12,FALSE)</f>
        <v>L</v>
      </c>
      <c r="S139" s="75"/>
      <c r="U139" s="41">
        <f t="shared" si="17"/>
        <v>9800</v>
      </c>
    </row>
    <row r="140" spans="1:21" ht="14.1" customHeight="1">
      <c r="A140" s="54">
        <f t="shared" si="12"/>
        <v>140</v>
      </c>
      <c r="B140" s="70" t="s">
        <v>398</v>
      </c>
      <c r="C140" s="70"/>
      <c r="D140" s="416" t="s">
        <v>399</v>
      </c>
      <c r="E140" s="416">
        <v>1</v>
      </c>
      <c r="F140" s="71">
        <v>34</v>
      </c>
      <c r="G140" s="40" t="s">
        <v>252</v>
      </c>
      <c r="H140" s="40" t="s">
        <v>101</v>
      </c>
      <c r="I140" s="40" t="s">
        <v>225</v>
      </c>
      <c r="J140" s="460">
        <v>5.42</v>
      </c>
      <c r="K140" s="371">
        <f t="shared" si="13"/>
        <v>0</v>
      </c>
      <c r="L140" s="72" t="s">
        <v>101</v>
      </c>
      <c r="M140" s="72"/>
      <c r="N140" s="73">
        <f t="shared" si="14"/>
        <v>0</v>
      </c>
      <c r="O140" s="73">
        <f t="shared" si="15"/>
        <v>0</v>
      </c>
      <c r="P140" s="74">
        <f>IF(L140="nio",0,IF(L140&gt;0,VLOOKUP(H140,'3-Productie normen'!A:J,VLOOKUP(L140,'3-Productie normen'!$B$33:$C$38,2,FALSE),FALSE)))/VLOOKUP(B140,'2-Kosten per locatie'!$A$12:$C$23,3,FALSE)</f>
        <v>0</v>
      </c>
      <c r="Q140" s="74">
        <f t="shared" si="16"/>
        <v>0</v>
      </c>
      <c r="R140" s="75">
        <f>VLOOKUP(H140,'3-Productie normen'!A:L,12,FALSE)</f>
        <v>0</v>
      </c>
      <c r="S140" s="75"/>
      <c r="U140" s="41">
        <f t="shared" si="17"/>
        <v>0</v>
      </c>
    </row>
    <row r="141" spans="1:21" ht="14.1" customHeight="1">
      <c r="A141" s="54">
        <f t="shared" si="12"/>
        <v>141</v>
      </c>
      <c r="B141" s="70" t="s">
        <v>398</v>
      </c>
      <c r="C141" s="70"/>
      <c r="D141" s="416" t="s">
        <v>399</v>
      </c>
      <c r="E141" s="416">
        <v>1</v>
      </c>
      <c r="F141" s="71">
        <v>35</v>
      </c>
      <c r="G141" s="40" t="s">
        <v>17</v>
      </c>
      <c r="H141" s="40" t="s">
        <v>17</v>
      </c>
      <c r="I141" s="40" t="s">
        <v>250</v>
      </c>
      <c r="J141" s="460">
        <v>8.1999999999999993</v>
      </c>
      <c r="K141" s="371">
        <f t="shared" si="13"/>
        <v>200</v>
      </c>
      <c r="L141" s="72">
        <v>200</v>
      </c>
      <c r="M141" s="72"/>
      <c r="N141" s="73" t="e">
        <f t="shared" si="14"/>
        <v>#DIV/0!</v>
      </c>
      <c r="O141" s="73">
        <f t="shared" si="15"/>
        <v>0</v>
      </c>
      <c r="P141" s="74">
        <f>IF(L141="nio",0,IF(L141&gt;0,VLOOKUP(H141,'3-Productie normen'!A:J,VLOOKUP(L141,'3-Productie normen'!$B$33:$C$38,2,FALSE),FALSE)))/VLOOKUP(B141,'2-Kosten per locatie'!$A$12:$C$23,3,FALSE)</f>
        <v>0</v>
      </c>
      <c r="Q141" s="74">
        <f t="shared" si="16"/>
        <v>0</v>
      </c>
      <c r="R141" s="75" t="str">
        <f>VLOOKUP(H141,'3-Productie normen'!A:L,12,FALSE)</f>
        <v>S</v>
      </c>
      <c r="S141" s="75"/>
      <c r="U141" s="41">
        <f t="shared" si="17"/>
        <v>1639.9999999999998</v>
      </c>
    </row>
    <row r="142" spans="1:21" ht="14.1" customHeight="1">
      <c r="A142" s="54">
        <f t="shared" si="12"/>
        <v>142</v>
      </c>
      <c r="B142" s="70" t="s">
        <v>398</v>
      </c>
      <c r="C142" s="70"/>
      <c r="D142" s="416" t="s">
        <v>399</v>
      </c>
      <c r="E142" s="416">
        <v>1</v>
      </c>
      <c r="F142" s="71">
        <v>36</v>
      </c>
      <c r="G142" s="40" t="s">
        <v>233</v>
      </c>
      <c r="H142" s="40" t="s">
        <v>233</v>
      </c>
      <c r="I142" s="40" t="s">
        <v>225</v>
      </c>
      <c r="J142" s="460">
        <v>42.53</v>
      </c>
      <c r="K142" s="371">
        <f t="shared" si="13"/>
        <v>200</v>
      </c>
      <c r="L142" s="72">
        <v>200</v>
      </c>
      <c r="M142" s="72"/>
      <c r="N142" s="73" t="e">
        <f t="shared" si="14"/>
        <v>#DIV/0!</v>
      </c>
      <c r="O142" s="73">
        <f t="shared" si="15"/>
        <v>0</v>
      </c>
      <c r="P142" s="74">
        <f>IF(L142="nio",0,IF(L142&gt;0,VLOOKUP(H142,'3-Productie normen'!A:J,VLOOKUP(L142,'3-Productie normen'!$B$33:$C$38,2,FALSE),FALSE)))/VLOOKUP(B142,'2-Kosten per locatie'!$A$12:$C$23,3,FALSE)</f>
        <v>0</v>
      </c>
      <c r="Q142" s="74">
        <f t="shared" si="16"/>
        <v>0</v>
      </c>
      <c r="R142" s="75" t="str">
        <f>VLOOKUP(H142,'3-Productie normen'!A:L,12,FALSE)</f>
        <v>L</v>
      </c>
      <c r="S142" s="75"/>
      <c r="U142" s="41">
        <f t="shared" si="17"/>
        <v>8506</v>
      </c>
    </row>
    <row r="143" spans="1:21" ht="14.1" customHeight="1">
      <c r="A143" s="54">
        <f t="shared" si="12"/>
        <v>143</v>
      </c>
      <c r="B143" s="70" t="s">
        <v>398</v>
      </c>
      <c r="C143" s="70"/>
      <c r="D143" s="416" t="s">
        <v>399</v>
      </c>
      <c r="E143" s="416">
        <v>1</v>
      </c>
      <c r="F143" s="71">
        <v>37</v>
      </c>
      <c r="G143" s="70" t="s">
        <v>248</v>
      </c>
      <c r="H143" s="70" t="s">
        <v>232</v>
      </c>
      <c r="I143" s="40" t="s">
        <v>225</v>
      </c>
      <c r="J143" s="460">
        <v>38.36</v>
      </c>
      <c r="K143" s="371">
        <f t="shared" si="13"/>
        <v>200</v>
      </c>
      <c r="L143" s="72">
        <v>200</v>
      </c>
      <c r="M143" s="72"/>
      <c r="N143" s="73" t="e">
        <f t="shared" si="14"/>
        <v>#DIV/0!</v>
      </c>
      <c r="O143" s="73">
        <f t="shared" si="15"/>
        <v>0</v>
      </c>
      <c r="P143" s="74">
        <f>IF(L143="nio",0,IF(L143&gt;0,VLOOKUP(H143,'3-Productie normen'!A:J,VLOOKUP(L143,'3-Productie normen'!$B$33:$C$38,2,FALSE),FALSE)))/VLOOKUP(B143,'2-Kosten per locatie'!$A$12:$C$23,3,FALSE)</f>
        <v>0</v>
      </c>
      <c r="Q143" s="74">
        <f t="shared" si="16"/>
        <v>0</v>
      </c>
      <c r="R143" s="75" t="str">
        <f>VLOOKUP(H143,'3-Productie normen'!A:L,12,FALSE)</f>
        <v>V</v>
      </c>
      <c r="S143" s="75"/>
      <c r="U143" s="41">
        <f t="shared" si="17"/>
        <v>7672</v>
      </c>
    </row>
    <row r="144" spans="1:21" ht="14.1" customHeight="1">
      <c r="A144" s="54">
        <f t="shared" si="12"/>
        <v>144</v>
      </c>
      <c r="B144" s="70" t="s">
        <v>398</v>
      </c>
      <c r="C144" s="70"/>
      <c r="D144" s="416" t="s">
        <v>399</v>
      </c>
      <c r="E144" s="416">
        <v>1</v>
      </c>
      <c r="F144" s="71">
        <v>38</v>
      </c>
      <c r="G144" s="70" t="s">
        <v>17</v>
      </c>
      <c r="H144" s="70" t="s">
        <v>17</v>
      </c>
      <c r="I144" s="40" t="s">
        <v>250</v>
      </c>
      <c r="J144" s="460">
        <v>3.34</v>
      </c>
      <c r="K144" s="371">
        <f t="shared" si="13"/>
        <v>200</v>
      </c>
      <c r="L144" s="72">
        <v>200</v>
      </c>
      <c r="M144" s="72"/>
      <c r="N144" s="73" t="e">
        <f t="shared" si="14"/>
        <v>#DIV/0!</v>
      </c>
      <c r="O144" s="73">
        <f t="shared" si="15"/>
        <v>0</v>
      </c>
      <c r="P144" s="74">
        <f>IF(L144="nio",0,IF(L144&gt;0,VLOOKUP(H144,'3-Productie normen'!A:J,VLOOKUP(L144,'3-Productie normen'!$B$33:$C$38,2,FALSE),FALSE)))/VLOOKUP(B144,'2-Kosten per locatie'!$A$12:$C$23,3,FALSE)</f>
        <v>0</v>
      </c>
      <c r="Q144" s="74">
        <f t="shared" si="16"/>
        <v>0</v>
      </c>
      <c r="R144" s="75" t="str">
        <f>VLOOKUP(H144,'3-Productie normen'!A:L,12,FALSE)</f>
        <v>S</v>
      </c>
      <c r="S144" s="75"/>
      <c r="U144" s="41">
        <f t="shared" si="17"/>
        <v>668</v>
      </c>
    </row>
    <row r="145" spans="1:21" ht="14.1" customHeight="1">
      <c r="A145" s="54">
        <f t="shared" si="12"/>
        <v>145</v>
      </c>
      <c r="B145" s="70" t="s">
        <v>398</v>
      </c>
      <c r="C145" s="70"/>
      <c r="D145" s="416" t="s">
        <v>399</v>
      </c>
      <c r="E145" s="416">
        <v>1</v>
      </c>
      <c r="F145" s="71">
        <v>39</v>
      </c>
      <c r="G145" s="70" t="s">
        <v>249</v>
      </c>
      <c r="H145" s="70" t="s">
        <v>231</v>
      </c>
      <c r="I145" s="40" t="s">
        <v>225</v>
      </c>
      <c r="J145" s="460">
        <v>44.7</v>
      </c>
      <c r="K145" s="371">
        <f t="shared" si="13"/>
        <v>200</v>
      </c>
      <c r="L145" s="72">
        <v>200</v>
      </c>
      <c r="M145" s="72"/>
      <c r="N145" s="73" t="e">
        <f t="shared" si="14"/>
        <v>#DIV/0!</v>
      </c>
      <c r="O145" s="73">
        <f t="shared" si="15"/>
        <v>0</v>
      </c>
      <c r="P145" s="74">
        <f>IF(L145="nio",0,IF(L145&gt;0,VLOOKUP(H145,'3-Productie normen'!A:J,VLOOKUP(L145,'3-Productie normen'!$B$33:$C$38,2,FALSE),FALSE)))/VLOOKUP(B145,'2-Kosten per locatie'!$A$12:$C$23,3,FALSE)</f>
        <v>0</v>
      </c>
      <c r="Q145" s="74">
        <f t="shared" si="16"/>
        <v>0</v>
      </c>
      <c r="R145" s="75" t="str">
        <f>VLOOKUP(H145,'3-Productie normen'!A:L,12,FALSE)</f>
        <v>L</v>
      </c>
      <c r="S145" s="75"/>
      <c r="U145" s="41">
        <f t="shared" si="17"/>
        <v>8940</v>
      </c>
    </row>
    <row r="146" spans="1:21" ht="14.1" customHeight="1">
      <c r="A146" s="54">
        <f t="shared" si="12"/>
        <v>146</v>
      </c>
      <c r="B146" s="70" t="s">
        <v>398</v>
      </c>
      <c r="C146" s="70"/>
      <c r="D146" s="416" t="s">
        <v>399</v>
      </c>
      <c r="E146" s="416">
        <v>1</v>
      </c>
      <c r="F146" s="71">
        <v>40</v>
      </c>
      <c r="G146" s="40" t="s">
        <v>233</v>
      </c>
      <c r="H146" s="40" t="s">
        <v>233</v>
      </c>
      <c r="I146" s="40" t="s">
        <v>264</v>
      </c>
      <c r="J146" s="460">
        <v>59.41</v>
      </c>
      <c r="K146" s="371">
        <f t="shared" si="13"/>
        <v>200</v>
      </c>
      <c r="L146" s="72">
        <v>200</v>
      </c>
      <c r="M146" s="72"/>
      <c r="N146" s="73" t="e">
        <f t="shared" si="14"/>
        <v>#DIV/0!</v>
      </c>
      <c r="O146" s="73">
        <f t="shared" si="15"/>
        <v>0</v>
      </c>
      <c r="P146" s="74">
        <f>IF(L146="nio",0,IF(L146&gt;0,VLOOKUP(H146,'3-Productie normen'!A:J,VLOOKUP(L146,'3-Productie normen'!$B$33:$C$38,2,FALSE),FALSE)))/VLOOKUP(B146,'2-Kosten per locatie'!$A$12:$C$23,3,FALSE)</f>
        <v>0</v>
      </c>
      <c r="Q146" s="74">
        <f t="shared" si="16"/>
        <v>0</v>
      </c>
      <c r="R146" s="75" t="str">
        <f>VLOOKUP(H146,'3-Productie normen'!A:L,12,FALSE)</f>
        <v>L</v>
      </c>
      <c r="S146" s="75"/>
      <c r="U146" s="41">
        <f t="shared" si="17"/>
        <v>11882</v>
      </c>
    </row>
    <row r="147" spans="1:21" ht="14.1" customHeight="1">
      <c r="A147" s="54">
        <f t="shared" si="12"/>
        <v>147</v>
      </c>
      <c r="B147" s="70" t="s">
        <v>398</v>
      </c>
      <c r="C147" s="70"/>
      <c r="D147" s="416" t="s">
        <v>399</v>
      </c>
      <c r="E147" s="416">
        <v>1</v>
      </c>
      <c r="F147" s="71">
        <v>41</v>
      </c>
      <c r="G147" s="40" t="s">
        <v>252</v>
      </c>
      <c r="H147" s="40" t="s">
        <v>101</v>
      </c>
      <c r="I147" s="40" t="s">
        <v>225</v>
      </c>
      <c r="J147" s="460">
        <v>4.0999999999999996</v>
      </c>
      <c r="K147" s="371">
        <f t="shared" si="13"/>
        <v>0</v>
      </c>
      <c r="L147" s="72" t="s">
        <v>101</v>
      </c>
      <c r="M147" s="72"/>
      <c r="N147" s="73">
        <f t="shared" si="14"/>
        <v>0</v>
      </c>
      <c r="O147" s="73">
        <f t="shared" si="15"/>
        <v>0</v>
      </c>
      <c r="P147" s="74">
        <f>IF(L147="nio",0,IF(L147&gt;0,VLOOKUP(H147,'3-Productie normen'!A:J,VLOOKUP(L147,'3-Productie normen'!$B$33:$C$38,2,FALSE),FALSE)))/VLOOKUP(B147,'2-Kosten per locatie'!$A$12:$C$23,3,FALSE)</f>
        <v>0</v>
      </c>
      <c r="Q147" s="74">
        <f t="shared" si="16"/>
        <v>0</v>
      </c>
      <c r="R147" s="75">
        <f>VLOOKUP(H147,'3-Productie normen'!A:L,12,FALSE)</f>
        <v>0</v>
      </c>
      <c r="S147" s="75"/>
      <c r="U147" s="41">
        <f t="shared" si="17"/>
        <v>0</v>
      </c>
    </row>
    <row r="148" spans="1:21" ht="14.1" customHeight="1">
      <c r="A148" s="54">
        <f t="shared" si="12"/>
        <v>148</v>
      </c>
      <c r="B148" s="70" t="s">
        <v>398</v>
      </c>
      <c r="C148" s="70"/>
      <c r="D148" s="416" t="s">
        <v>399</v>
      </c>
      <c r="E148" s="416">
        <v>1</v>
      </c>
      <c r="F148" s="71">
        <v>42</v>
      </c>
      <c r="G148" s="40" t="s">
        <v>226</v>
      </c>
      <c r="H148" s="40" t="s">
        <v>226</v>
      </c>
      <c r="I148" s="40" t="s">
        <v>234</v>
      </c>
      <c r="J148" s="460">
        <v>15.16</v>
      </c>
      <c r="K148" s="371">
        <f t="shared" si="13"/>
        <v>200</v>
      </c>
      <c r="L148" s="72">
        <v>200</v>
      </c>
      <c r="M148" s="72"/>
      <c r="N148" s="73" t="e">
        <f t="shared" si="14"/>
        <v>#DIV/0!</v>
      </c>
      <c r="O148" s="73">
        <f t="shared" si="15"/>
        <v>0</v>
      </c>
      <c r="P148" s="74">
        <f>IF(L148="nio",0,IF(L148&gt;0,VLOOKUP(H148,'3-Productie normen'!A:J,VLOOKUP(L148,'3-Productie normen'!$B$33:$C$38,2,FALSE),FALSE)))/VLOOKUP(B148,'2-Kosten per locatie'!$A$12:$C$23,3,FALSE)</f>
        <v>0</v>
      </c>
      <c r="Q148" s="74">
        <f t="shared" si="16"/>
        <v>0</v>
      </c>
      <c r="R148" s="75" t="str">
        <f>VLOOKUP(H148,'3-Productie normen'!A:L,12,FALSE)</f>
        <v>V</v>
      </c>
      <c r="S148" s="75"/>
      <c r="U148" s="41">
        <f t="shared" si="17"/>
        <v>3032</v>
      </c>
    </row>
    <row r="149" spans="1:21" ht="14.1" customHeight="1">
      <c r="A149" s="54">
        <f t="shared" si="12"/>
        <v>149</v>
      </c>
      <c r="B149" s="70" t="s">
        <v>398</v>
      </c>
      <c r="C149" s="70"/>
      <c r="D149" s="416" t="s">
        <v>399</v>
      </c>
      <c r="E149" s="416">
        <v>2</v>
      </c>
      <c r="F149" s="71">
        <v>43</v>
      </c>
      <c r="G149" s="40" t="s">
        <v>252</v>
      </c>
      <c r="H149" s="40" t="s">
        <v>101</v>
      </c>
      <c r="I149" s="40" t="s">
        <v>225</v>
      </c>
      <c r="J149" s="460">
        <v>10.8</v>
      </c>
      <c r="K149" s="371">
        <f t="shared" si="13"/>
        <v>0</v>
      </c>
      <c r="L149" s="72" t="s">
        <v>101</v>
      </c>
      <c r="M149" s="72"/>
      <c r="N149" s="73">
        <f t="shared" si="14"/>
        <v>0</v>
      </c>
      <c r="O149" s="73">
        <f t="shared" si="15"/>
        <v>0</v>
      </c>
      <c r="P149" s="74">
        <f>IF(L149="nio",0,IF(L149&gt;0,VLOOKUP(H149,'3-Productie normen'!A:J,VLOOKUP(L149,'3-Productie normen'!$B$33:$C$38,2,FALSE),FALSE)))/VLOOKUP(B149,'2-Kosten per locatie'!$A$12:$C$23,3,FALSE)</f>
        <v>0</v>
      </c>
      <c r="Q149" s="74">
        <f t="shared" si="16"/>
        <v>0</v>
      </c>
      <c r="R149" s="75">
        <f>VLOOKUP(H149,'3-Productie normen'!A:L,12,FALSE)</f>
        <v>0</v>
      </c>
      <c r="S149" s="75"/>
      <c r="U149" s="41">
        <f t="shared" si="17"/>
        <v>0</v>
      </c>
    </row>
    <row r="150" spans="1:21" ht="14.1" customHeight="1">
      <c r="A150" s="54">
        <f t="shared" si="12"/>
        <v>150</v>
      </c>
      <c r="B150" s="70" t="s">
        <v>398</v>
      </c>
      <c r="C150" s="70"/>
      <c r="D150" s="416" t="s">
        <v>399</v>
      </c>
      <c r="E150" s="416">
        <v>2</v>
      </c>
      <c r="F150" s="71">
        <v>44</v>
      </c>
      <c r="G150" s="77" t="s">
        <v>248</v>
      </c>
      <c r="H150" s="77" t="s">
        <v>232</v>
      </c>
      <c r="I150" s="40" t="s">
        <v>225</v>
      </c>
      <c r="J150" s="460">
        <v>9.5500000000000007</v>
      </c>
      <c r="K150" s="371">
        <f t="shared" si="13"/>
        <v>200</v>
      </c>
      <c r="L150" s="72">
        <v>200</v>
      </c>
      <c r="M150" s="72"/>
      <c r="N150" s="73" t="e">
        <f t="shared" si="14"/>
        <v>#DIV/0!</v>
      </c>
      <c r="O150" s="73">
        <f t="shared" si="15"/>
        <v>0</v>
      </c>
      <c r="P150" s="74">
        <f>IF(L150="nio",0,IF(L150&gt;0,VLOOKUP(H150,'3-Productie normen'!A:J,VLOOKUP(L150,'3-Productie normen'!$B$33:$C$38,2,FALSE),FALSE)))/VLOOKUP(B150,'2-Kosten per locatie'!$A$12:$C$23,3,FALSE)</f>
        <v>0</v>
      </c>
      <c r="Q150" s="74">
        <f t="shared" si="16"/>
        <v>0</v>
      </c>
      <c r="R150" s="75" t="str">
        <f>VLOOKUP(H150,'3-Productie normen'!A:L,12,FALSE)</f>
        <v>V</v>
      </c>
      <c r="S150" s="75"/>
      <c r="U150" s="41">
        <f t="shared" si="17"/>
        <v>1910.0000000000002</v>
      </c>
    </row>
    <row r="151" spans="1:21" ht="14.1" customHeight="1">
      <c r="A151" s="54">
        <f t="shared" si="12"/>
        <v>151</v>
      </c>
      <c r="B151" s="70" t="s">
        <v>398</v>
      </c>
      <c r="C151" s="70"/>
      <c r="D151" s="416" t="s">
        <v>399</v>
      </c>
      <c r="E151" s="416">
        <v>2</v>
      </c>
      <c r="F151" s="71">
        <v>45</v>
      </c>
      <c r="G151" s="40" t="s">
        <v>240</v>
      </c>
      <c r="H151" s="40" t="s">
        <v>240</v>
      </c>
      <c r="I151" s="78" t="s">
        <v>225</v>
      </c>
      <c r="J151" s="460">
        <v>49</v>
      </c>
      <c r="K151" s="371">
        <f t="shared" si="13"/>
        <v>200</v>
      </c>
      <c r="L151" s="72">
        <v>200</v>
      </c>
      <c r="M151" s="72"/>
      <c r="N151" s="73" t="e">
        <f t="shared" si="14"/>
        <v>#DIV/0!</v>
      </c>
      <c r="O151" s="73">
        <f t="shared" si="15"/>
        <v>0</v>
      </c>
      <c r="P151" s="74">
        <f>IF(L151="nio",0,IF(L151&gt;0,VLOOKUP(H151,'3-Productie normen'!A:J,VLOOKUP(L151,'3-Productie normen'!$B$33:$C$38,2,FALSE),FALSE)))/VLOOKUP(B151,'2-Kosten per locatie'!$A$12:$C$23,3,FALSE)</f>
        <v>0</v>
      </c>
      <c r="Q151" s="74">
        <f t="shared" si="16"/>
        <v>0</v>
      </c>
      <c r="R151" s="75" t="str">
        <f>VLOOKUP(H151,'3-Productie normen'!A:L,12,FALSE)</f>
        <v>V</v>
      </c>
      <c r="S151" s="75"/>
      <c r="U151" s="41">
        <f t="shared" si="17"/>
        <v>9800</v>
      </c>
    </row>
    <row r="152" spans="1:21" ht="14.1" customHeight="1">
      <c r="A152" s="54">
        <f t="shared" si="12"/>
        <v>152</v>
      </c>
      <c r="B152" s="70" t="s">
        <v>398</v>
      </c>
      <c r="C152" s="70"/>
      <c r="D152" s="417" t="s">
        <v>399</v>
      </c>
      <c r="E152" s="417">
        <v>2</v>
      </c>
      <c r="F152" s="79">
        <v>46</v>
      </c>
      <c r="G152" s="80" t="s">
        <v>240</v>
      </c>
      <c r="H152" s="80" t="s">
        <v>240</v>
      </c>
      <c r="I152" s="40" t="s">
        <v>225</v>
      </c>
      <c r="J152" s="460">
        <v>49</v>
      </c>
      <c r="K152" s="371">
        <f t="shared" si="13"/>
        <v>200</v>
      </c>
      <c r="L152" s="72">
        <v>200</v>
      </c>
      <c r="M152" s="72"/>
      <c r="N152" s="73" t="e">
        <f t="shared" si="14"/>
        <v>#DIV/0!</v>
      </c>
      <c r="O152" s="73">
        <f t="shared" si="15"/>
        <v>0</v>
      </c>
      <c r="P152" s="74">
        <f>IF(L152="nio",0,IF(L152&gt;0,VLOOKUP(H152,'3-Productie normen'!A:J,VLOOKUP(L152,'3-Productie normen'!$B$33:$C$38,2,FALSE),FALSE)))/VLOOKUP(B152,'2-Kosten per locatie'!$A$12:$C$23,3,FALSE)</f>
        <v>0</v>
      </c>
      <c r="Q152" s="74">
        <f t="shared" si="16"/>
        <v>0</v>
      </c>
      <c r="R152" s="75" t="str">
        <f>VLOOKUP(H152,'3-Productie normen'!A:L,12,FALSE)</f>
        <v>V</v>
      </c>
      <c r="S152" s="75"/>
      <c r="U152" s="41">
        <f t="shared" si="17"/>
        <v>9800</v>
      </c>
    </row>
    <row r="153" spans="1:21" ht="14.1" customHeight="1">
      <c r="A153" s="54">
        <f t="shared" si="12"/>
        <v>153</v>
      </c>
      <c r="B153" s="70" t="s">
        <v>398</v>
      </c>
      <c r="C153" s="70"/>
      <c r="D153" s="416" t="s">
        <v>399</v>
      </c>
      <c r="E153" s="416">
        <v>2</v>
      </c>
      <c r="F153" s="71">
        <v>47</v>
      </c>
      <c r="G153" s="40" t="s">
        <v>240</v>
      </c>
      <c r="H153" s="40" t="s">
        <v>240</v>
      </c>
      <c r="I153" s="40" t="s">
        <v>225</v>
      </c>
      <c r="J153" s="460">
        <v>49</v>
      </c>
      <c r="K153" s="371">
        <f t="shared" si="13"/>
        <v>200</v>
      </c>
      <c r="L153" s="72">
        <v>200</v>
      </c>
      <c r="M153" s="72"/>
      <c r="N153" s="73" t="e">
        <f t="shared" si="14"/>
        <v>#DIV/0!</v>
      </c>
      <c r="O153" s="73">
        <f t="shared" si="15"/>
        <v>0</v>
      </c>
      <c r="P153" s="74">
        <f>IF(L153="nio",0,IF(L153&gt;0,VLOOKUP(H153,'3-Productie normen'!A:J,VLOOKUP(L153,'3-Productie normen'!$B$33:$C$38,2,FALSE),FALSE)))/VLOOKUP(B153,'2-Kosten per locatie'!$A$12:$C$23,3,FALSE)</f>
        <v>0</v>
      </c>
      <c r="Q153" s="74">
        <f t="shared" si="16"/>
        <v>0</v>
      </c>
      <c r="R153" s="75" t="str">
        <f>VLOOKUP(H153,'3-Productie normen'!A:L,12,FALSE)</f>
        <v>V</v>
      </c>
      <c r="S153" s="75"/>
      <c r="U153" s="41">
        <f t="shared" si="17"/>
        <v>9800</v>
      </c>
    </row>
    <row r="154" spans="1:21" ht="14.1" customHeight="1">
      <c r="A154" s="54">
        <f t="shared" si="12"/>
        <v>154</v>
      </c>
      <c r="B154" s="70" t="s">
        <v>398</v>
      </c>
      <c r="C154" s="70"/>
      <c r="D154" s="416" t="s">
        <v>399</v>
      </c>
      <c r="E154" s="416">
        <v>2</v>
      </c>
      <c r="F154" s="71">
        <v>48</v>
      </c>
      <c r="G154" s="40" t="s">
        <v>17</v>
      </c>
      <c r="H154" s="40" t="s">
        <v>17</v>
      </c>
      <c r="I154" s="40" t="s">
        <v>250</v>
      </c>
      <c r="J154" s="460">
        <v>4.7</v>
      </c>
      <c r="K154" s="371">
        <f t="shared" si="13"/>
        <v>200</v>
      </c>
      <c r="L154" s="72">
        <v>200</v>
      </c>
      <c r="M154" s="72"/>
      <c r="N154" s="73" t="e">
        <f t="shared" si="14"/>
        <v>#DIV/0!</v>
      </c>
      <c r="O154" s="73">
        <f t="shared" si="15"/>
        <v>0</v>
      </c>
      <c r="P154" s="74">
        <f>IF(L154="nio",0,IF(L154&gt;0,VLOOKUP(H154,'3-Productie normen'!A:J,VLOOKUP(L154,'3-Productie normen'!$B$33:$C$38,2,FALSE),FALSE)))/VLOOKUP(B154,'2-Kosten per locatie'!$A$12:$C$23,3,FALSE)</f>
        <v>0</v>
      </c>
      <c r="Q154" s="74">
        <f t="shared" si="16"/>
        <v>0</v>
      </c>
      <c r="R154" s="75" t="str">
        <f>VLOOKUP(H154,'3-Productie normen'!A:L,12,FALSE)</f>
        <v>S</v>
      </c>
      <c r="S154" s="75"/>
      <c r="U154" s="41">
        <f t="shared" si="17"/>
        <v>940</v>
      </c>
    </row>
    <row r="155" spans="1:21" ht="14.1" customHeight="1">
      <c r="A155" s="54">
        <f t="shared" si="12"/>
        <v>155</v>
      </c>
      <c r="B155" s="70" t="s">
        <v>398</v>
      </c>
      <c r="C155" s="70"/>
      <c r="D155" s="416" t="s">
        <v>399</v>
      </c>
      <c r="E155" s="416">
        <v>2</v>
      </c>
      <c r="F155" s="71">
        <v>49</v>
      </c>
      <c r="G155" s="40" t="s">
        <v>17</v>
      </c>
      <c r="H155" s="40" t="s">
        <v>17</v>
      </c>
      <c r="I155" s="40" t="s">
        <v>250</v>
      </c>
      <c r="J155" s="460">
        <v>8.7100000000000009</v>
      </c>
      <c r="K155" s="371">
        <f t="shared" si="13"/>
        <v>200</v>
      </c>
      <c r="L155" s="72">
        <v>200</v>
      </c>
      <c r="M155" s="72"/>
      <c r="N155" s="73" t="e">
        <f t="shared" si="14"/>
        <v>#DIV/0!</v>
      </c>
      <c r="O155" s="73">
        <f t="shared" si="15"/>
        <v>0</v>
      </c>
      <c r="P155" s="74">
        <f>IF(L155="nio",0,IF(L155&gt;0,VLOOKUP(H155,'3-Productie normen'!A:J,VLOOKUP(L155,'3-Productie normen'!$B$33:$C$38,2,FALSE),FALSE)))/VLOOKUP(B155,'2-Kosten per locatie'!$A$12:$C$23,3,FALSE)</f>
        <v>0</v>
      </c>
      <c r="Q155" s="74">
        <f t="shared" si="16"/>
        <v>0</v>
      </c>
      <c r="R155" s="75" t="str">
        <f>VLOOKUP(H155,'3-Productie normen'!A:L,12,FALSE)</f>
        <v>S</v>
      </c>
      <c r="S155" s="75"/>
      <c r="U155" s="41">
        <f t="shared" si="17"/>
        <v>1742.0000000000002</v>
      </c>
    </row>
    <row r="156" spans="1:21" ht="14.1" customHeight="1">
      <c r="A156" s="54">
        <f t="shared" si="12"/>
        <v>156</v>
      </c>
      <c r="B156" s="70" t="s">
        <v>398</v>
      </c>
      <c r="C156" s="70"/>
      <c r="D156" s="416" t="s">
        <v>399</v>
      </c>
      <c r="E156" s="416">
        <v>2</v>
      </c>
      <c r="F156" s="71">
        <v>50</v>
      </c>
      <c r="G156" s="40" t="s">
        <v>240</v>
      </c>
      <c r="H156" s="40" t="s">
        <v>240</v>
      </c>
      <c r="I156" s="40" t="s">
        <v>225</v>
      </c>
      <c r="J156" s="460">
        <v>42.5</v>
      </c>
      <c r="K156" s="371">
        <f t="shared" si="13"/>
        <v>200</v>
      </c>
      <c r="L156" s="72">
        <v>200</v>
      </c>
      <c r="M156" s="72"/>
      <c r="N156" s="73" t="e">
        <f t="shared" si="14"/>
        <v>#DIV/0!</v>
      </c>
      <c r="O156" s="73">
        <f t="shared" si="15"/>
        <v>0</v>
      </c>
      <c r="P156" s="74">
        <f>IF(L156="nio",0,IF(L156&gt;0,VLOOKUP(H156,'3-Productie normen'!A:J,VLOOKUP(L156,'3-Productie normen'!$B$33:$C$38,2,FALSE),FALSE)))/VLOOKUP(B156,'2-Kosten per locatie'!$A$12:$C$23,3,FALSE)</f>
        <v>0</v>
      </c>
      <c r="Q156" s="74">
        <f t="shared" si="16"/>
        <v>0</v>
      </c>
      <c r="R156" s="75" t="str">
        <f>VLOOKUP(H156,'3-Productie normen'!A:L,12,FALSE)</f>
        <v>V</v>
      </c>
      <c r="S156" s="75"/>
      <c r="U156" s="41">
        <f t="shared" si="17"/>
        <v>8500</v>
      </c>
    </row>
    <row r="157" spans="1:21" ht="14.1" customHeight="1">
      <c r="A157" s="54">
        <f t="shared" si="12"/>
        <v>157</v>
      </c>
      <c r="B157" s="70" t="s">
        <v>398</v>
      </c>
      <c r="C157" s="70"/>
      <c r="D157" s="416" t="s">
        <v>399</v>
      </c>
      <c r="E157" s="416">
        <v>2</v>
      </c>
      <c r="F157" s="71">
        <v>51</v>
      </c>
      <c r="G157" s="40" t="s">
        <v>248</v>
      </c>
      <c r="H157" s="40" t="s">
        <v>232</v>
      </c>
      <c r="I157" s="40" t="s">
        <v>225</v>
      </c>
      <c r="J157" s="460">
        <v>111.6</v>
      </c>
      <c r="K157" s="371">
        <f t="shared" si="13"/>
        <v>200</v>
      </c>
      <c r="L157" s="72">
        <v>200</v>
      </c>
      <c r="M157" s="72"/>
      <c r="N157" s="73" t="e">
        <f t="shared" si="14"/>
        <v>#DIV/0!</v>
      </c>
      <c r="O157" s="73">
        <f t="shared" si="15"/>
        <v>0</v>
      </c>
      <c r="P157" s="74">
        <f>IF(L157="nio",0,IF(L157&gt;0,VLOOKUP(H157,'3-Productie normen'!A:J,VLOOKUP(L157,'3-Productie normen'!$B$33:$C$38,2,FALSE),FALSE)))/VLOOKUP(B157,'2-Kosten per locatie'!$A$12:$C$23,3,FALSE)</f>
        <v>0</v>
      </c>
      <c r="Q157" s="74">
        <f t="shared" si="16"/>
        <v>0</v>
      </c>
      <c r="R157" s="75" t="str">
        <f>VLOOKUP(H157,'3-Productie normen'!A:L,12,FALSE)</f>
        <v>V</v>
      </c>
      <c r="S157" s="75"/>
      <c r="U157" s="41">
        <f t="shared" si="17"/>
        <v>22320</v>
      </c>
    </row>
    <row r="158" spans="1:21" ht="14.1" customHeight="1">
      <c r="A158" s="54">
        <f t="shared" si="12"/>
        <v>158</v>
      </c>
      <c r="B158" s="70" t="s">
        <v>398</v>
      </c>
      <c r="C158" s="70"/>
      <c r="D158" s="416" t="s">
        <v>399</v>
      </c>
      <c r="E158" s="416">
        <v>2</v>
      </c>
      <c r="F158" s="71">
        <v>52</v>
      </c>
      <c r="G158" s="70" t="s">
        <v>17</v>
      </c>
      <c r="H158" s="70" t="s">
        <v>17</v>
      </c>
      <c r="I158" s="40" t="s">
        <v>250</v>
      </c>
      <c r="J158" s="460">
        <v>3.26</v>
      </c>
      <c r="K158" s="371">
        <f t="shared" si="13"/>
        <v>200</v>
      </c>
      <c r="L158" s="72">
        <v>200</v>
      </c>
      <c r="M158" s="72"/>
      <c r="N158" s="73" t="e">
        <f t="shared" si="14"/>
        <v>#DIV/0!</v>
      </c>
      <c r="O158" s="73">
        <f t="shared" si="15"/>
        <v>0</v>
      </c>
      <c r="P158" s="74">
        <f>IF(L158="nio",0,IF(L158&gt;0,VLOOKUP(H158,'3-Productie normen'!A:J,VLOOKUP(L158,'3-Productie normen'!$B$33:$C$38,2,FALSE),FALSE)))/VLOOKUP(B158,'2-Kosten per locatie'!$A$12:$C$23,3,FALSE)</f>
        <v>0</v>
      </c>
      <c r="Q158" s="74">
        <f t="shared" si="16"/>
        <v>0</v>
      </c>
      <c r="R158" s="75" t="str">
        <f>VLOOKUP(H158,'3-Productie normen'!A:L,12,FALSE)</f>
        <v>S</v>
      </c>
      <c r="S158" s="75"/>
      <c r="U158" s="41">
        <f t="shared" si="17"/>
        <v>652</v>
      </c>
    </row>
    <row r="159" spans="1:21" ht="14.1" customHeight="1">
      <c r="A159" s="54">
        <f t="shared" si="12"/>
        <v>159</v>
      </c>
      <c r="B159" s="70" t="s">
        <v>398</v>
      </c>
      <c r="C159" s="70"/>
      <c r="D159" s="416" t="s">
        <v>399</v>
      </c>
      <c r="E159" s="416">
        <v>2</v>
      </c>
      <c r="F159" s="71">
        <v>53</v>
      </c>
      <c r="G159" s="70" t="s">
        <v>176</v>
      </c>
      <c r="H159" s="70" t="s">
        <v>176</v>
      </c>
      <c r="I159" s="40" t="s">
        <v>225</v>
      </c>
      <c r="J159" s="460">
        <v>7.56</v>
      </c>
      <c r="K159" s="371">
        <f t="shared" si="13"/>
        <v>200</v>
      </c>
      <c r="L159" s="72">
        <v>200</v>
      </c>
      <c r="M159" s="72"/>
      <c r="N159" s="73" t="e">
        <f t="shared" si="14"/>
        <v>#DIV/0!</v>
      </c>
      <c r="O159" s="73">
        <f t="shared" si="15"/>
        <v>0</v>
      </c>
      <c r="P159" s="74">
        <f>IF(L159="nio",0,IF(L159&gt;0,VLOOKUP(H159,'3-Productie normen'!A:J,VLOOKUP(L159,'3-Productie normen'!$B$33:$C$38,2,FALSE),FALSE)))/VLOOKUP(B159,'2-Kosten per locatie'!$A$12:$C$23,3,FALSE)</f>
        <v>0</v>
      </c>
      <c r="Q159" s="74">
        <f t="shared" si="16"/>
        <v>0</v>
      </c>
      <c r="R159" s="75" t="str">
        <f>VLOOKUP(H159,'3-Productie normen'!A:L,12,FALSE)</f>
        <v>B</v>
      </c>
      <c r="S159" s="75"/>
      <c r="U159" s="41">
        <f t="shared" si="17"/>
        <v>1512</v>
      </c>
    </row>
    <row r="160" spans="1:21" ht="14.1" customHeight="1">
      <c r="A160" s="54">
        <f t="shared" si="12"/>
        <v>160</v>
      </c>
      <c r="B160" s="70" t="s">
        <v>398</v>
      </c>
      <c r="C160" s="70"/>
      <c r="D160" s="416" t="s">
        <v>399</v>
      </c>
      <c r="E160" s="416">
        <v>2</v>
      </c>
      <c r="F160" s="71">
        <v>54</v>
      </c>
      <c r="G160" s="70" t="s">
        <v>176</v>
      </c>
      <c r="H160" s="70" t="s">
        <v>176</v>
      </c>
      <c r="I160" s="40" t="s">
        <v>225</v>
      </c>
      <c r="J160" s="460">
        <v>8.1</v>
      </c>
      <c r="K160" s="371">
        <f t="shared" si="13"/>
        <v>200</v>
      </c>
      <c r="L160" s="72">
        <v>200</v>
      </c>
      <c r="M160" s="72"/>
      <c r="N160" s="73" t="e">
        <f t="shared" si="14"/>
        <v>#DIV/0!</v>
      </c>
      <c r="O160" s="73">
        <f t="shared" si="15"/>
        <v>0</v>
      </c>
      <c r="P160" s="74">
        <f>IF(L160="nio",0,IF(L160&gt;0,VLOOKUP(H160,'3-Productie normen'!A:J,VLOOKUP(L160,'3-Productie normen'!$B$33:$C$38,2,FALSE),FALSE)))/VLOOKUP(B160,'2-Kosten per locatie'!$A$12:$C$23,3,FALSE)</f>
        <v>0</v>
      </c>
      <c r="Q160" s="74">
        <f t="shared" si="16"/>
        <v>0</v>
      </c>
      <c r="R160" s="75" t="str">
        <f>VLOOKUP(H160,'3-Productie normen'!A:L,12,FALSE)</f>
        <v>B</v>
      </c>
      <c r="S160" s="75"/>
      <c r="U160" s="41">
        <f t="shared" si="17"/>
        <v>1620</v>
      </c>
    </row>
    <row r="161" spans="1:21" ht="14.1" customHeight="1">
      <c r="A161" s="54">
        <f t="shared" si="12"/>
        <v>161</v>
      </c>
      <c r="B161" s="70" t="s">
        <v>398</v>
      </c>
      <c r="C161" s="70"/>
      <c r="D161" s="416" t="s">
        <v>399</v>
      </c>
      <c r="E161" s="416">
        <v>2</v>
      </c>
      <c r="F161" s="71">
        <v>55</v>
      </c>
      <c r="G161" s="40" t="s">
        <v>176</v>
      </c>
      <c r="H161" s="40" t="s">
        <v>176</v>
      </c>
      <c r="I161" s="40" t="s">
        <v>225</v>
      </c>
      <c r="J161" s="460">
        <v>11.08</v>
      </c>
      <c r="K161" s="371">
        <f t="shared" si="13"/>
        <v>200</v>
      </c>
      <c r="L161" s="72">
        <v>200</v>
      </c>
      <c r="M161" s="72"/>
      <c r="N161" s="73" t="e">
        <f t="shared" si="14"/>
        <v>#DIV/0!</v>
      </c>
      <c r="O161" s="73">
        <f t="shared" si="15"/>
        <v>0</v>
      </c>
      <c r="P161" s="74">
        <f>IF(L161="nio",0,IF(L161&gt;0,VLOOKUP(H161,'3-Productie normen'!A:J,VLOOKUP(L161,'3-Productie normen'!$B$33:$C$38,2,FALSE),FALSE)))/VLOOKUP(B161,'2-Kosten per locatie'!$A$12:$C$23,3,FALSE)</f>
        <v>0</v>
      </c>
      <c r="Q161" s="74">
        <f t="shared" si="16"/>
        <v>0</v>
      </c>
      <c r="R161" s="75" t="str">
        <f>VLOOKUP(H161,'3-Productie normen'!A:L,12,FALSE)</f>
        <v>B</v>
      </c>
      <c r="S161" s="75"/>
      <c r="U161" s="41">
        <f t="shared" si="17"/>
        <v>2216</v>
      </c>
    </row>
    <row r="162" spans="1:21" ht="14.1" customHeight="1">
      <c r="A162" s="54">
        <f t="shared" si="12"/>
        <v>162</v>
      </c>
      <c r="B162" s="70" t="s">
        <v>398</v>
      </c>
      <c r="C162" s="70"/>
      <c r="D162" s="416" t="s">
        <v>399</v>
      </c>
      <c r="E162" s="416">
        <v>2</v>
      </c>
      <c r="F162" s="71">
        <v>56</v>
      </c>
      <c r="G162" s="40" t="s">
        <v>252</v>
      </c>
      <c r="H162" s="40" t="s">
        <v>101</v>
      </c>
      <c r="I162" s="40" t="s">
        <v>225</v>
      </c>
      <c r="J162" s="460">
        <v>3.44</v>
      </c>
      <c r="K162" s="371">
        <f t="shared" si="13"/>
        <v>0</v>
      </c>
      <c r="L162" s="72" t="s">
        <v>101</v>
      </c>
      <c r="M162" s="72"/>
      <c r="N162" s="73">
        <f t="shared" si="14"/>
        <v>0</v>
      </c>
      <c r="O162" s="73">
        <f t="shared" si="15"/>
        <v>0</v>
      </c>
      <c r="P162" s="74">
        <f>IF(L162="nio",0,IF(L162&gt;0,VLOOKUP(H162,'3-Productie normen'!A:J,VLOOKUP(L162,'3-Productie normen'!$B$33:$C$38,2,FALSE),FALSE)))/VLOOKUP(B162,'2-Kosten per locatie'!$A$12:$C$23,3,FALSE)</f>
        <v>0</v>
      </c>
      <c r="Q162" s="74">
        <f t="shared" si="16"/>
        <v>0</v>
      </c>
      <c r="R162" s="75">
        <f>VLOOKUP(H162,'3-Productie normen'!A:L,12,FALSE)</f>
        <v>0</v>
      </c>
      <c r="S162" s="75"/>
      <c r="U162" s="41">
        <f t="shared" si="17"/>
        <v>0</v>
      </c>
    </row>
    <row r="163" spans="1:21" ht="14.1" customHeight="1">
      <c r="A163" s="54">
        <f t="shared" si="12"/>
        <v>163</v>
      </c>
      <c r="B163" s="70" t="s">
        <v>398</v>
      </c>
      <c r="C163" s="70"/>
      <c r="D163" s="416" t="s">
        <v>399</v>
      </c>
      <c r="E163" s="416"/>
      <c r="F163" s="71">
        <v>57</v>
      </c>
      <c r="G163" s="40" t="s">
        <v>252</v>
      </c>
      <c r="H163" s="40" t="s">
        <v>101</v>
      </c>
      <c r="I163" s="40" t="s">
        <v>225</v>
      </c>
      <c r="J163" s="460">
        <v>3.09</v>
      </c>
      <c r="K163" s="371">
        <f t="shared" si="13"/>
        <v>0</v>
      </c>
      <c r="L163" s="72" t="s">
        <v>101</v>
      </c>
      <c r="M163" s="72"/>
      <c r="N163" s="73">
        <f t="shared" si="14"/>
        <v>0</v>
      </c>
      <c r="O163" s="73">
        <f t="shared" si="15"/>
        <v>0</v>
      </c>
      <c r="P163" s="74">
        <f>IF(L163="nio",0,IF(L163&gt;0,VLOOKUP(H163,'3-Productie normen'!A:J,VLOOKUP(L163,'3-Productie normen'!$B$33:$C$38,2,FALSE),FALSE)))/VLOOKUP(B163,'2-Kosten per locatie'!$A$12:$C$23,3,FALSE)</f>
        <v>0</v>
      </c>
      <c r="Q163" s="74">
        <f t="shared" si="16"/>
        <v>0</v>
      </c>
      <c r="R163" s="75">
        <f>VLOOKUP(H163,'3-Productie normen'!A:L,12,FALSE)</f>
        <v>0</v>
      </c>
      <c r="S163" s="75"/>
      <c r="U163" s="41">
        <f t="shared" si="17"/>
        <v>0</v>
      </c>
    </row>
    <row r="164" spans="1:21" ht="14.1" customHeight="1">
      <c r="A164" s="54">
        <f t="shared" si="12"/>
        <v>164</v>
      </c>
      <c r="B164" s="70" t="s">
        <v>398</v>
      </c>
      <c r="C164" s="70"/>
      <c r="D164" s="416" t="s">
        <v>399</v>
      </c>
      <c r="E164" s="416">
        <v>2</v>
      </c>
      <c r="F164" s="71">
        <v>58</v>
      </c>
      <c r="G164" s="40" t="s">
        <v>248</v>
      </c>
      <c r="H164" s="40" t="s">
        <v>232</v>
      </c>
      <c r="I164" s="40" t="s">
        <v>225</v>
      </c>
      <c r="J164" s="460">
        <v>22.97</v>
      </c>
      <c r="K164" s="371">
        <f t="shared" si="13"/>
        <v>200</v>
      </c>
      <c r="L164" s="72">
        <v>200</v>
      </c>
      <c r="M164" s="72"/>
      <c r="N164" s="73" t="e">
        <f t="shared" si="14"/>
        <v>#DIV/0!</v>
      </c>
      <c r="O164" s="73">
        <f t="shared" si="15"/>
        <v>0</v>
      </c>
      <c r="P164" s="74">
        <f>IF(L164="nio",0,IF(L164&gt;0,VLOOKUP(H164,'3-Productie normen'!A:J,VLOOKUP(L164,'3-Productie normen'!$B$33:$C$38,2,FALSE),FALSE)))/VLOOKUP(B164,'2-Kosten per locatie'!$A$12:$C$23,3,FALSE)</f>
        <v>0</v>
      </c>
      <c r="Q164" s="74">
        <f t="shared" si="16"/>
        <v>0</v>
      </c>
      <c r="R164" s="75" t="str">
        <f>VLOOKUP(H164,'3-Productie normen'!A:L,12,FALSE)</f>
        <v>V</v>
      </c>
      <c r="S164" s="75"/>
      <c r="U164" s="41">
        <f t="shared" si="17"/>
        <v>4594</v>
      </c>
    </row>
    <row r="165" spans="1:21" ht="14.1" customHeight="1">
      <c r="A165" s="54">
        <f t="shared" si="12"/>
        <v>165</v>
      </c>
      <c r="B165" s="70" t="s">
        <v>398</v>
      </c>
      <c r="C165" s="70"/>
      <c r="D165" s="416" t="s">
        <v>399</v>
      </c>
      <c r="E165" s="416">
        <v>2</v>
      </c>
      <c r="F165" s="71">
        <v>59</v>
      </c>
      <c r="G165" s="77" t="s">
        <v>1</v>
      </c>
      <c r="H165" s="77" t="s">
        <v>1</v>
      </c>
      <c r="I165" s="40" t="s">
        <v>404</v>
      </c>
      <c r="J165" s="460">
        <v>26.3</v>
      </c>
      <c r="K165" s="371">
        <f t="shared" si="13"/>
        <v>200</v>
      </c>
      <c r="L165" s="72">
        <v>200</v>
      </c>
      <c r="M165" s="72"/>
      <c r="N165" s="73" t="e">
        <f t="shared" si="14"/>
        <v>#DIV/0!</v>
      </c>
      <c r="O165" s="73">
        <f t="shared" si="15"/>
        <v>0</v>
      </c>
      <c r="P165" s="74">
        <f>IF(L165="nio",0,IF(L165&gt;0,VLOOKUP(H165,'3-Productie normen'!A:J,VLOOKUP(L165,'3-Productie normen'!$B$33:$C$38,2,FALSE),FALSE)))/VLOOKUP(B165,'2-Kosten per locatie'!$A$12:$C$23,3,FALSE)</f>
        <v>0</v>
      </c>
      <c r="Q165" s="74">
        <f t="shared" si="16"/>
        <v>0</v>
      </c>
      <c r="R165" s="75" t="str">
        <f>VLOOKUP(H165,'3-Productie normen'!A:L,12,FALSE)</f>
        <v>V</v>
      </c>
      <c r="S165" s="75"/>
      <c r="U165" s="41">
        <f t="shared" si="17"/>
        <v>5260</v>
      </c>
    </row>
    <row r="166" spans="1:21" ht="14.1" customHeight="1">
      <c r="A166" s="54">
        <f t="shared" si="12"/>
        <v>166</v>
      </c>
      <c r="B166" s="70" t="s">
        <v>398</v>
      </c>
      <c r="C166" s="70"/>
      <c r="D166" s="416" t="s">
        <v>399</v>
      </c>
      <c r="E166" s="416">
        <v>2</v>
      </c>
      <c r="F166" s="71">
        <v>60</v>
      </c>
      <c r="G166" s="40" t="s">
        <v>17</v>
      </c>
      <c r="H166" s="40" t="s">
        <v>17</v>
      </c>
      <c r="I166" s="78" t="s">
        <v>250</v>
      </c>
      <c r="J166" s="460">
        <v>1.22</v>
      </c>
      <c r="K166" s="371">
        <f t="shared" si="13"/>
        <v>200</v>
      </c>
      <c r="L166" s="72">
        <v>200</v>
      </c>
      <c r="M166" s="72"/>
      <c r="N166" s="73" t="e">
        <f t="shared" si="14"/>
        <v>#DIV/0!</v>
      </c>
      <c r="O166" s="73">
        <f t="shared" si="15"/>
        <v>0</v>
      </c>
      <c r="P166" s="74">
        <f>IF(L166="nio",0,IF(L166&gt;0,VLOOKUP(H166,'3-Productie normen'!A:J,VLOOKUP(L166,'3-Productie normen'!$B$33:$C$38,2,FALSE),FALSE)))/VLOOKUP(B166,'2-Kosten per locatie'!$A$12:$C$23,3,FALSE)</f>
        <v>0</v>
      </c>
      <c r="Q166" s="74">
        <f t="shared" si="16"/>
        <v>0</v>
      </c>
      <c r="R166" s="75" t="str">
        <f>VLOOKUP(H166,'3-Productie normen'!A:L,12,FALSE)</f>
        <v>S</v>
      </c>
      <c r="S166" s="75"/>
      <c r="U166" s="41">
        <f t="shared" si="17"/>
        <v>244</v>
      </c>
    </row>
    <row r="167" spans="1:21" ht="14.1" customHeight="1">
      <c r="A167" s="54">
        <f t="shared" si="12"/>
        <v>167</v>
      </c>
      <c r="B167" s="70" t="s">
        <v>398</v>
      </c>
      <c r="C167" s="70"/>
      <c r="D167" s="417" t="s">
        <v>399</v>
      </c>
      <c r="E167" s="417">
        <v>2</v>
      </c>
      <c r="F167" s="79">
        <v>61</v>
      </c>
      <c r="G167" s="80" t="s">
        <v>17</v>
      </c>
      <c r="H167" s="80" t="s">
        <v>17</v>
      </c>
      <c r="I167" s="40" t="s">
        <v>250</v>
      </c>
      <c r="J167" s="460">
        <v>1.22</v>
      </c>
      <c r="K167" s="371">
        <f t="shared" si="13"/>
        <v>200</v>
      </c>
      <c r="L167" s="72">
        <v>200</v>
      </c>
      <c r="M167" s="72"/>
      <c r="N167" s="73" t="e">
        <f t="shared" si="14"/>
        <v>#DIV/0!</v>
      </c>
      <c r="O167" s="73">
        <f t="shared" si="15"/>
        <v>0</v>
      </c>
      <c r="P167" s="74">
        <f>IF(L167="nio",0,IF(L167&gt;0,VLOOKUP(H167,'3-Productie normen'!A:J,VLOOKUP(L167,'3-Productie normen'!$B$33:$C$38,2,FALSE),FALSE)))/VLOOKUP(B167,'2-Kosten per locatie'!$A$12:$C$23,3,FALSE)</f>
        <v>0</v>
      </c>
      <c r="Q167" s="74">
        <f t="shared" si="16"/>
        <v>0</v>
      </c>
      <c r="R167" s="75" t="str">
        <f>VLOOKUP(H167,'3-Productie normen'!A:L,12,FALSE)</f>
        <v>S</v>
      </c>
      <c r="S167" s="75"/>
      <c r="U167" s="41">
        <f t="shared" si="17"/>
        <v>244</v>
      </c>
    </row>
    <row r="168" spans="1:21" ht="14.1" customHeight="1">
      <c r="A168" s="54">
        <f t="shared" si="12"/>
        <v>168</v>
      </c>
      <c r="B168" s="70" t="s">
        <v>398</v>
      </c>
      <c r="C168" s="70"/>
      <c r="D168" s="416" t="s">
        <v>399</v>
      </c>
      <c r="E168" s="416">
        <v>2</v>
      </c>
      <c r="F168" s="71">
        <v>62</v>
      </c>
      <c r="G168" s="40" t="s">
        <v>1</v>
      </c>
      <c r="H168" s="40" t="s">
        <v>1</v>
      </c>
      <c r="I168" s="40" t="s">
        <v>404</v>
      </c>
      <c r="J168" s="460">
        <v>26.3</v>
      </c>
      <c r="K168" s="371">
        <f t="shared" si="13"/>
        <v>200</v>
      </c>
      <c r="L168" s="72">
        <v>200</v>
      </c>
      <c r="M168" s="72"/>
      <c r="N168" s="73" t="e">
        <f t="shared" si="14"/>
        <v>#DIV/0!</v>
      </c>
      <c r="O168" s="73">
        <f t="shared" si="15"/>
        <v>0</v>
      </c>
      <c r="P168" s="74">
        <f>IF(L168="nio",0,IF(L168&gt;0,VLOOKUP(H168,'3-Productie normen'!A:J,VLOOKUP(L168,'3-Productie normen'!$B$33:$C$38,2,FALSE),FALSE)))/VLOOKUP(B168,'2-Kosten per locatie'!$A$12:$C$23,3,FALSE)</f>
        <v>0</v>
      </c>
      <c r="Q168" s="74">
        <f t="shared" si="16"/>
        <v>0</v>
      </c>
      <c r="R168" s="75" t="str">
        <f>VLOOKUP(H168,'3-Productie normen'!A:L,12,FALSE)</f>
        <v>V</v>
      </c>
      <c r="S168" s="75"/>
      <c r="U168" s="41">
        <f t="shared" si="17"/>
        <v>5260</v>
      </c>
    </row>
    <row r="169" spans="1:21" ht="14.1" customHeight="1">
      <c r="A169" s="54">
        <f t="shared" si="12"/>
        <v>169</v>
      </c>
      <c r="B169" s="70" t="s">
        <v>398</v>
      </c>
      <c r="C169" s="70"/>
      <c r="D169" s="416" t="s">
        <v>399</v>
      </c>
      <c r="E169" s="416">
        <v>2</v>
      </c>
      <c r="F169" s="71">
        <v>63</v>
      </c>
      <c r="G169" s="40" t="s">
        <v>1</v>
      </c>
      <c r="H169" s="40" t="s">
        <v>1</v>
      </c>
      <c r="I169" s="40" t="s">
        <v>404</v>
      </c>
      <c r="J169" s="460">
        <v>4.05</v>
      </c>
      <c r="K169" s="371">
        <f t="shared" si="13"/>
        <v>200</v>
      </c>
      <c r="L169" s="72">
        <v>200</v>
      </c>
      <c r="M169" s="72"/>
      <c r="N169" s="73" t="e">
        <f t="shared" si="14"/>
        <v>#DIV/0!</v>
      </c>
      <c r="O169" s="73">
        <f t="shared" si="15"/>
        <v>0</v>
      </c>
      <c r="P169" s="74">
        <f>IF(L169="nio",0,IF(L169&gt;0,VLOOKUP(H169,'3-Productie normen'!A:J,VLOOKUP(L169,'3-Productie normen'!$B$33:$C$38,2,FALSE),FALSE)))/VLOOKUP(B169,'2-Kosten per locatie'!$A$12:$C$23,3,FALSE)</f>
        <v>0</v>
      </c>
      <c r="Q169" s="74">
        <f t="shared" si="16"/>
        <v>0</v>
      </c>
      <c r="R169" s="75" t="str">
        <f>VLOOKUP(H169,'3-Productie normen'!A:L,12,FALSE)</f>
        <v>V</v>
      </c>
      <c r="S169" s="75"/>
      <c r="U169" s="41">
        <f t="shared" si="17"/>
        <v>810</v>
      </c>
    </row>
    <row r="170" spans="1:21" ht="14.1" customHeight="1">
      <c r="A170" s="54">
        <f t="shared" si="12"/>
        <v>170</v>
      </c>
      <c r="B170" s="70" t="s">
        <v>398</v>
      </c>
      <c r="C170" s="70"/>
      <c r="D170" s="416" t="s">
        <v>399</v>
      </c>
      <c r="E170" s="416">
        <v>2</v>
      </c>
      <c r="F170" s="71">
        <v>64</v>
      </c>
      <c r="G170" s="40" t="s">
        <v>226</v>
      </c>
      <c r="H170" s="40" t="s">
        <v>226</v>
      </c>
      <c r="I170" s="40" t="s">
        <v>234</v>
      </c>
      <c r="J170" s="460">
        <v>4.8600000000000003</v>
      </c>
      <c r="K170" s="371">
        <f t="shared" si="13"/>
        <v>200</v>
      </c>
      <c r="L170" s="72">
        <v>200</v>
      </c>
      <c r="M170" s="72"/>
      <c r="N170" s="73" t="e">
        <f t="shared" si="14"/>
        <v>#DIV/0!</v>
      </c>
      <c r="O170" s="73">
        <f t="shared" si="15"/>
        <v>0</v>
      </c>
      <c r="P170" s="74">
        <f>IF(L170="nio",0,IF(L170&gt;0,VLOOKUP(H170,'3-Productie normen'!A:J,VLOOKUP(L170,'3-Productie normen'!$B$33:$C$38,2,FALSE),FALSE)))/VLOOKUP(B170,'2-Kosten per locatie'!$A$12:$C$23,3,FALSE)</f>
        <v>0</v>
      </c>
      <c r="Q170" s="74">
        <f t="shared" si="16"/>
        <v>0</v>
      </c>
      <c r="R170" s="75" t="str">
        <f>VLOOKUP(H170,'3-Productie normen'!A:L,12,FALSE)</f>
        <v>V</v>
      </c>
      <c r="S170" s="75"/>
      <c r="U170" s="41">
        <f t="shared" si="17"/>
        <v>972.00000000000011</v>
      </c>
    </row>
    <row r="171" spans="1:21" ht="14.1" customHeight="1">
      <c r="A171" s="54">
        <f t="shared" si="12"/>
        <v>171</v>
      </c>
      <c r="B171" s="70" t="s">
        <v>398</v>
      </c>
      <c r="C171" s="70"/>
      <c r="D171" s="416" t="s">
        <v>399</v>
      </c>
      <c r="E171" s="416">
        <v>2</v>
      </c>
      <c r="F171" s="71">
        <v>65</v>
      </c>
      <c r="G171" s="40" t="s">
        <v>248</v>
      </c>
      <c r="H171" s="40" t="s">
        <v>232</v>
      </c>
      <c r="I171" s="40" t="s">
        <v>225</v>
      </c>
      <c r="J171" s="460">
        <v>4.8899999999999997</v>
      </c>
      <c r="K171" s="371">
        <f t="shared" si="13"/>
        <v>200</v>
      </c>
      <c r="L171" s="72">
        <v>200</v>
      </c>
      <c r="M171" s="72"/>
      <c r="N171" s="73" t="e">
        <f t="shared" si="14"/>
        <v>#DIV/0!</v>
      </c>
      <c r="O171" s="73">
        <f t="shared" si="15"/>
        <v>0</v>
      </c>
      <c r="P171" s="74">
        <f>IF(L171="nio",0,IF(L171&gt;0,VLOOKUP(H171,'3-Productie normen'!A:J,VLOOKUP(L171,'3-Productie normen'!$B$33:$C$38,2,FALSE),FALSE)))/VLOOKUP(B171,'2-Kosten per locatie'!$A$12:$C$23,3,FALSE)</f>
        <v>0</v>
      </c>
      <c r="Q171" s="74">
        <f t="shared" si="16"/>
        <v>0</v>
      </c>
      <c r="R171" s="75" t="str">
        <f>VLOOKUP(H171,'3-Productie normen'!A:L,12,FALSE)</f>
        <v>V</v>
      </c>
      <c r="S171" s="75"/>
      <c r="U171" s="41">
        <f t="shared" si="17"/>
        <v>977.99999999999989</v>
      </c>
    </row>
    <row r="172" spans="1:21" ht="14.1" customHeight="1">
      <c r="A172" s="54">
        <f t="shared" si="12"/>
        <v>172</v>
      </c>
      <c r="B172" s="70" t="s">
        <v>398</v>
      </c>
      <c r="C172" s="70"/>
      <c r="D172" s="416" t="s">
        <v>399</v>
      </c>
      <c r="E172" s="416">
        <v>2</v>
      </c>
      <c r="F172" s="71">
        <v>66</v>
      </c>
      <c r="G172" s="40" t="s">
        <v>252</v>
      </c>
      <c r="H172" s="40" t="s">
        <v>101</v>
      </c>
      <c r="I172" s="40" t="s">
        <v>228</v>
      </c>
      <c r="J172" s="460">
        <v>2.14</v>
      </c>
      <c r="K172" s="371">
        <f t="shared" si="13"/>
        <v>0</v>
      </c>
      <c r="L172" s="72" t="s">
        <v>101</v>
      </c>
      <c r="M172" s="72"/>
      <c r="N172" s="73">
        <f t="shared" si="14"/>
        <v>0</v>
      </c>
      <c r="O172" s="73">
        <f t="shared" si="15"/>
        <v>0</v>
      </c>
      <c r="P172" s="74">
        <f>IF(L172="nio",0,IF(L172&gt;0,VLOOKUP(H172,'3-Productie normen'!A:J,VLOOKUP(L172,'3-Productie normen'!$B$33:$C$38,2,FALSE),FALSE)))/VLOOKUP(B172,'2-Kosten per locatie'!$A$12:$C$23,3,FALSE)</f>
        <v>0</v>
      </c>
      <c r="Q172" s="74">
        <f t="shared" si="16"/>
        <v>0</v>
      </c>
      <c r="R172" s="75">
        <f>VLOOKUP(H172,'3-Productie normen'!A:L,12,FALSE)</f>
        <v>0</v>
      </c>
      <c r="S172" s="75"/>
      <c r="U172" s="41">
        <f t="shared" si="17"/>
        <v>0</v>
      </c>
    </row>
    <row r="173" spans="1:21" ht="14.1" customHeight="1">
      <c r="A173" s="54">
        <f t="shared" si="12"/>
        <v>173</v>
      </c>
      <c r="B173" s="70" t="s">
        <v>398</v>
      </c>
      <c r="C173" s="70"/>
      <c r="D173" s="416" t="s">
        <v>399</v>
      </c>
      <c r="E173" s="416">
        <v>2</v>
      </c>
      <c r="F173" s="71">
        <v>67</v>
      </c>
      <c r="G173" s="70" t="s">
        <v>236</v>
      </c>
      <c r="H173" s="70" t="s">
        <v>236</v>
      </c>
      <c r="I173" s="40" t="s">
        <v>225</v>
      </c>
      <c r="J173" s="460">
        <v>268</v>
      </c>
      <c r="K173" s="371">
        <f t="shared" si="13"/>
        <v>200</v>
      </c>
      <c r="L173" s="72">
        <v>200</v>
      </c>
      <c r="M173" s="72"/>
      <c r="N173" s="73" t="e">
        <f t="shared" si="14"/>
        <v>#DIV/0!</v>
      </c>
      <c r="O173" s="73">
        <f t="shared" si="15"/>
        <v>0</v>
      </c>
      <c r="P173" s="74">
        <f>IF(L173="nio",0,IF(L173&gt;0,VLOOKUP(H173,'3-Productie normen'!A:J,VLOOKUP(L173,'3-Productie normen'!$B$33:$C$38,2,FALSE),FALSE)))/VLOOKUP(B173,'2-Kosten per locatie'!$A$12:$C$23,3,FALSE)</f>
        <v>0</v>
      </c>
      <c r="Q173" s="74">
        <f t="shared" si="16"/>
        <v>0</v>
      </c>
      <c r="R173" s="75" t="str">
        <f>VLOOKUP(H173,'3-Productie normen'!A:L,12,FALSE)</f>
        <v>V</v>
      </c>
      <c r="S173" s="75"/>
      <c r="U173" s="41">
        <f t="shared" si="17"/>
        <v>53600</v>
      </c>
    </row>
    <row r="174" spans="1:21" ht="14.1" customHeight="1">
      <c r="A174" s="54">
        <f t="shared" si="12"/>
        <v>174</v>
      </c>
      <c r="B174" s="70" t="s">
        <v>398</v>
      </c>
      <c r="C174" s="70"/>
      <c r="D174" s="416" t="s">
        <v>399</v>
      </c>
      <c r="E174" s="416">
        <v>2</v>
      </c>
      <c r="F174" s="71">
        <v>68</v>
      </c>
      <c r="G174" s="70" t="s">
        <v>252</v>
      </c>
      <c r="H174" s="70" t="s">
        <v>101</v>
      </c>
      <c r="I174" s="40" t="s">
        <v>225</v>
      </c>
      <c r="J174" s="460">
        <v>31.95</v>
      </c>
      <c r="K174" s="371">
        <f t="shared" si="13"/>
        <v>0</v>
      </c>
      <c r="L174" s="72" t="s">
        <v>101</v>
      </c>
      <c r="M174" s="72"/>
      <c r="N174" s="73">
        <f t="shared" si="14"/>
        <v>0</v>
      </c>
      <c r="O174" s="73">
        <f t="shared" si="15"/>
        <v>0</v>
      </c>
      <c r="P174" s="74">
        <f>IF(L174="nio",0,IF(L174&gt;0,VLOOKUP(H174,'3-Productie normen'!A:J,VLOOKUP(L174,'3-Productie normen'!$B$33:$C$38,2,FALSE),FALSE)))/VLOOKUP(B174,'2-Kosten per locatie'!$A$12:$C$23,3,FALSE)</f>
        <v>0</v>
      </c>
      <c r="Q174" s="74">
        <f t="shared" si="16"/>
        <v>0</v>
      </c>
      <c r="R174" s="75">
        <f>VLOOKUP(H174,'3-Productie normen'!A:L,12,FALSE)</f>
        <v>0</v>
      </c>
      <c r="S174" s="75"/>
      <c r="U174" s="41">
        <f t="shared" si="17"/>
        <v>0</v>
      </c>
    </row>
    <row r="175" spans="1:21" ht="14.1" customHeight="1">
      <c r="A175" s="54">
        <f t="shared" si="12"/>
        <v>175</v>
      </c>
      <c r="B175" s="70" t="s">
        <v>398</v>
      </c>
      <c r="C175" s="70"/>
      <c r="D175" s="416" t="s">
        <v>399</v>
      </c>
      <c r="E175" s="416">
        <v>2</v>
      </c>
      <c r="F175" s="71" t="s">
        <v>405</v>
      </c>
      <c r="G175" s="70" t="s">
        <v>252</v>
      </c>
      <c r="H175" s="70" t="s">
        <v>101</v>
      </c>
      <c r="I175" s="40" t="s">
        <v>228</v>
      </c>
      <c r="J175" s="460">
        <v>17.260000000000002</v>
      </c>
      <c r="K175" s="371">
        <f t="shared" si="13"/>
        <v>0</v>
      </c>
      <c r="L175" s="72" t="s">
        <v>101</v>
      </c>
      <c r="M175" s="72"/>
      <c r="N175" s="73">
        <f t="shared" si="14"/>
        <v>0</v>
      </c>
      <c r="O175" s="73">
        <f t="shared" si="15"/>
        <v>0</v>
      </c>
      <c r="P175" s="74">
        <f>IF(L175="nio",0,IF(L175&gt;0,VLOOKUP(H175,'3-Productie normen'!A:J,VLOOKUP(L175,'3-Productie normen'!$B$33:$C$38,2,FALSE),FALSE)))/VLOOKUP(B175,'2-Kosten per locatie'!$A$12:$C$23,3,FALSE)</f>
        <v>0</v>
      </c>
      <c r="Q175" s="74">
        <f t="shared" si="16"/>
        <v>0</v>
      </c>
      <c r="R175" s="75">
        <f>VLOOKUP(H175,'3-Productie normen'!A:L,12,FALSE)</f>
        <v>0</v>
      </c>
      <c r="S175" s="75"/>
      <c r="U175" s="41">
        <f t="shared" si="17"/>
        <v>0</v>
      </c>
    </row>
    <row r="176" spans="1:21" ht="14.1" customHeight="1">
      <c r="A176" s="54">
        <f t="shared" si="12"/>
        <v>176</v>
      </c>
      <c r="B176" s="70" t="s">
        <v>398</v>
      </c>
      <c r="C176" s="70"/>
      <c r="D176" s="416" t="s">
        <v>399</v>
      </c>
      <c r="E176" s="416">
        <v>1</v>
      </c>
      <c r="F176" s="71" t="s">
        <v>406</v>
      </c>
      <c r="G176" s="40" t="s">
        <v>226</v>
      </c>
      <c r="H176" s="40" t="s">
        <v>226</v>
      </c>
      <c r="I176" s="40" t="s">
        <v>234</v>
      </c>
      <c r="J176" s="460">
        <v>18</v>
      </c>
      <c r="K176" s="371">
        <f t="shared" si="13"/>
        <v>200</v>
      </c>
      <c r="L176" s="72">
        <v>200</v>
      </c>
      <c r="M176" s="72"/>
      <c r="N176" s="73" t="e">
        <f t="shared" si="14"/>
        <v>#DIV/0!</v>
      </c>
      <c r="O176" s="73">
        <f t="shared" si="15"/>
        <v>0</v>
      </c>
      <c r="P176" s="74">
        <f>IF(L176="nio",0,IF(L176&gt;0,VLOOKUP(H176,'3-Productie normen'!A:J,VLOOKUP(L176,'3-Productie normen'!$B$33:$C$38,2,FALSE),FALSE)))/VLOOKUP(B176,'2-Kosten per locatie'!$A$12:$C$23,3,FALSE)</f>
        <v>0</v>
      </c>
      <c r="Q176" s="74">
        <f t="shared" si="16"/>
        <v>0</v>
      </c>
      <c r="R176" s="75" t="str">
        <f>VLOOKUP(H176,'3-Productie normen'!A:L,12,FALSE)</f>
        <v>V</v>
      </c>
      <c r="S176" s="75"/>
      <c r="U176" s="41">
        <f t="shared" si="17"/>
        <v>3600</v>
      </c>
    </row>
    <row r="177" spans="1:21" ht="14.1" customHeight="1">
      <c r="A177" s="54">
        <f t="shared" si="12"/>
        <v>177</v>
      </c>
      <c r="B177" s="70" t="s">
        <v>398</v>
      </c>
      <c r="C177" s="70"/>
      <c r="D177" s="416" t="s">
        <v>399</v>
      </c>
      <c r="E177" s="416">
        <v>1</v>
      </c>
      <c r="F177" s="71" t="s">
        <v>407</v>
      </c>
      <c r="G177" s="40" t="s">
        <v>226</v>
      </c>
      <c r="H177" s="40" t="s">
        <v>226</v>
      </c>
      <c r="I177" s="40" t="s">
        <v>408</v>
      </c>
      <c r="J177" s="460">
        <v>22.56</v>
      </c>
      <c r="K177" s="371">
        <f t="shared" si="13"/>
        <v>200</v>
      </c>
      <c r="L177" s="72">
        <v>200</v>
      </c>
      <c r="M177" s="72"/>
      <c r="N177" s="73" t="e">
        <f t="shared" si="14"/>
        <v>#DIV/0!</v>
      </c>
      <c r="O177" s="73">
        <f t="shared" si="15"/>
        <v>0</v>
      </c>
      <c r="P177" s="74">
        <f>IF(L177="nio",0,IF(L177&gt;0,VLOOKUP(H177,'3-Productie normen'!A:J,VLOOKUP(L177,'3-Productie normen'!$B$33:$C$38,2,FALSE),FALSE)))/VLOOKUP(B177,'2-Kosten per locatie'!$A$12:$C$23,3,FALSE)</f>
        <v>0</v>
      </c>
      <c r="Q177" s="74">
        <f t="shared" si="16"/>
        <v>0</v>
      </c>
      <c r="R177" s="75" t="str">
        <f>VLOOKUP(H177,'3-Productie normen'!A:L,12,FALSE)</f>
        <v>V</v>
      </c>
      <c r="S177" s="75"/>
      <c r="U177" s="41">
        <f t="shared" si="17"/>
        <v>4512</v>
      </c>
    </row>
    <row r="178" spans="1:21" ht="14.1" customHeight="1">
      <c r="A178" s="54">
        <f t="shared" si="12"/>
        <v>178</v>
      </c>
      <c r="B178" s="70" t="s">
        <v>409</v>
      </c>
      <c r="C178" s="70"/>
      <c r="D178" s="416" t="s">
        <v>410</v>
      </c>
      <c r="E178" s="416" t="s">
        <v>89</v>
      </c>
      <c r="F178" s="71">
        <v>74</v>
      </c>
      <c r="G178" s="40" t="s">
        <v>411</v>
      </c>
      <c r="H178" s="40" t="s">
        <v>233</v>
      </c>
      <c r="I178" s="40" t="s">
        <v>225</v>
      </c>
      <c r="J178" s="460">
        <v>26.82</v>
      </c>
      <c r="K178" s="371">
        <f t="shared" si="13"/>
        <v>200</v>
      </c>
      <c r="L178" s="72">
        <v>200</v>
      </c>
      <c r="M178" s="72"/>
      <c r="N178" s="73" t="e">
        <f t="shared" si="14"/>
        <v>#DIV/0!</v>
      </c>
      <c r="O178" s="73">
        <f t="shared" si="15"/>
        <v>0</v>
      </c>
      <c r="P178" s="74">
        <f>IF(L178="nio",0,IF(L178&gt;0,VLOOKUP(H178,'3-Productie normen'!A:J,VLOOKUP(L178,'3-Productie normen'!$B$33:$C$38,2,FALSE),FALSE)))/VLOOKUP(B178,'2-Kosten per locatie'!$A$12:$C$23,3,FALSE)</f>
        <v>0</v>
      </c>
      <c r="Q178" s="74">
        <f t="shared" si="16"/>
        <v>0</v>
      </c>
      <c r="R178" s="75" t="str">
        <f>VLOOKUP(H178,'3-Productie normen'!A:L,12,FALSE)</f>
        <v>L</v>
      </c>
      <c r="S178" s="75"/>
      <c r="U178" s="41">
        <f t="shared" si="17"/>
        <v>5364</v>
      </c>
    </row>
    <row r="179" spans="1:21" ht="14.1" customHeight="1">
      <c r="A179" s="54">
        <f t="shared" si="12"/>
        <v>179</v>
      </c>
      <c r="B179" s="70" t="s">
        <v>409</v>
      </c>
      <c r="C179" s="70"/>
      <c r="D179" s="416" t="s">
        <v>410</v>
      </c>
      <c r="E179" s="416">
        <v>2</v>
      </c>
      <c r="F179" s="71">
        <v>75</v>
      </c>
      <c r="G179" s="40" t="s">
        <v>411</v>
      </c>
      <c r="H179" s="40" t="s">
        <v>233</v>
      </c>
      <c r="I179" s="40" t="s">
        <v>225</v>
      </c>
      <c r="J179" s="460">
        <v>46.95</v>
      </c>
      <c r="K179" s="371">
        <f t="shared" si="13"/>
        <v>200</v>
      </c>
      <c r="L179" s="72">
        <v>200</v>
      </c>
      <c r="M179" s="72"/>
      <c r="N179" s="73" t="e">
        <f t="shared" si="14"/>
        <v>#DIV/0!</v>
      </c>
      <c r="O179" s="73">
        <f t="shared" si="15"/>
        <v>0</v>
      </c>
      <c r="P179" s="74">
        <f>IF(L179="nio",0,IF(L179&gt;0,VLOOKUP(H179,'3-Productie normen'!A:J,VLOOKUP(L179,'3-Productie normen'!$B$33:$C$38,2,FALSE),FALSE)))/VLOOKUP(B179,'2-Kosten per locatie'!$A$12:$C$23,3,FALSE)</f>
        <v>0</v>
      </c>
      <c r="Q179" s="74">
        <f t="shared" si="16"/>
        <v>0</v>
      </c>
      <c r="R179" s="75" t="str">
        <f>VLOOKUP(H179,'3-Productie normen'!A:L,12,FALSE)</f>
        <v>L</v>
      </c>
      <c r="S179" s="75"/>
      <c r="U179" s="41">
        <f t="shared" si="17"/>
        <v>9390</v>
      </c>
    </row>
    <row r="180" spans="1:21" ht="14.1" customHeight="1">
      <c r="A180" s="54">
        <f t="shared" si="12"/>
        <v>180</v>
      </c>
      <c r="B180" s="70" t="s">
        <v>409</v>
      </c>
      <c r="C180" s="70"/>
      <c r="D180" s="416" t="s">
        <v>410</v>
      </c>
      <c r="E180" s="416" t="s">
        <v>89</v>
      </c>
      <c r="F180" s="71">
        <v>1</v>
      </c>
      <c r="G180" s="77" t="s">
        <v>247</v>
      </c>
      <c r="H180" s="77" t="s">
        <v>90</v>
      </c>
      <c r="I180" s="40" t="s">
        <v>245</v>
      </c>
      <c r="J180" s="460">
        <v>39.700000000000003</v>
      </c>
      <c r="K180" s="371">
        <f t="shared" si="13"/>
        <v>200</v>
      </c>
      <c r="L180" s="72">
        <v>200</v>
      </c>
      <c r="M180" s="72"/>
      <c r="N180" s="73" t="e">
        <f t="shared" si="14"/>
        <v>#DIV/0!</v>
      </c>
      <c r="O180" s="73">
        <f t="shared" si="15"/>
        <v>0</v>
      </c>
      <c r="P180" s="74">
        <f>IF(L180="nio",0,IF(L180&gt;0,VLOOKUP(H180,'3-Productie normen'!A:J,VLOOKUP(L180,'3-Productie normen'!$B$33:$C$38,2,FALSE),FALSE)))/VLOOKUP(B180,'2-Kosten per locatie'!$A$12:$C$23,3,FALSE)</f>
        <v>0</v>
      </c>
      <c r="Q180" s="74">
        <f t="shared" si="16"/>
        <v>0</v>
      </c>
      <c r="R180" s="75" t="str">
        <f>VLOOKUP(H180,'3-Productie normen'!A:L,12,FALSE)</f>
        <v>V</v>
      </c>
      <c r="S180" s="75"/>
      <c r="U180" s="41">
        <f t="shared" si="17"/>
        <v>7940.0000000000009</v>
      </c>
    </row>
    <row r="181" spans="1:21" ht="14.1" customHeight="1">
      <c r="A181" s="54">
        <f t="shared" si="12"/>
        <v>181</v>
      </c>
      <c r="B181" s="70" t="s">
        <v>409</v>
      </c>
      <c r="C181" s="70"/>
      <c r="D181" s="416" t="s">
        <v>410</v>
      </c>
      <c r="E181" s="416" t="s">
        <v>89</v>
      </c>
      <c r="F181" s="71" t="s">
        <v>412</v>
      </c>
      <c r="G181" s="40" t="s">
        <v>233</v>
      </c>
      <c r="H181" s="40" t="s">
        <v>233</v>
      </c>
      <c r="I181" s="78" t="s">
        <v>225</v>
      </c>
      <c r="J181" s="460">
        <v>26.82</v>
      </c>
      <c r="K181" s="371">
        <f t="shared" si="13"/>
        <v>200</v>
      </c>
      <c r="L181" s="72">
        <v>200</v>
      </c>
      <c r="M181" s="72"/>
      <c r="N181" s="73" t="e">
        <f t="shared" si="14"/>
        <v>#DIV/0!</v>
      </c>
      <c r="O181" s="73">
        <f t="shared" si="15"/>
        <v>0</v>
      </c>
      <c r="P181" s="74">
        <f>IF(L181="nio",0,IF(L181&gt;0,VLOOKUP(H181,'3-Productie normen'!A:J,VLOOKUP(L181,'3-Productie normen'!$B$33:$C$38,2,FALSE),FALSE)))/VLOOKUP(B181,'2-Kosten per locatie'!$A$12:$C$23,3,FALSE)</f>
        <v>0</v>
      </c>
      <c r="Q181" s="74">
        <f t="shared" si="16"/>
        <v>0</v>
      </c>
      <c r="R181" s="75" t="str">
        <f>VLOOKUP(H181,'3-Productie normen'!A:L,12,FALSE)</f>
        <v>L</v>
      </c>
      <c r="S181" s="75"/>
      <c r="U181" s="41">
        <f t="shared" si="17"/>
        <v>5364</v>
      </c>
    </row>
    <row r="182" spans="1:21" ht="14.1" customHeight="1">
      <c r="A182" s="54">
        <f t="shared" si="12"/>
        <v>182</v>
      </c>
      <c r="B182" s="70" t="s">
        <v>409</v>
      </c>
      <c r="C182" s="70"/>
      <c r="D182" s="416" t="s">
        <v>410</v>
      </c>
      <c r="E182" s="416" t="s">
        <v>89</v>
      </c>
      <c r="F182" s="79" t="s">
        <v>413</v>
      </c>
      <c r="G182" s="80" t="s">
        <v>233</v>
      </c>
      <c r="H182" s="80" t="s">
        <v>233</v>
      </c>
      <c r="I182" s="40" t="s">
        <v>225</v>
      </c>
      <c r="J182" s="460">
        <v>23.41</v>
      </c>
      <c r="K182" s="371">
        <f t="shared" si="13"/>
        <v>200</v>
      </c>
      <c r="L182" s="72">
        <v>200</v>
      </c>
      <c r="M182" s="72"/>
      <c r="N182" s="73" t="e">
        <f t="shared" si="14"/>
        <v>#DIV/0!</v>
      </c>
      <c r="O182" s="73">
        <f t="shared" si="15"/>
        <v>0</v>
      </c>
      <c r="P182" s="74">
        <f>IF(L182="nio",0,IF(L182&gt;0,VLOOKUP(H182,'3-Productie normen'!A:J,VLOOKUP(L182,'3-Productie normen'!$B$33:$C$38,2,FALSE),FALSE)))/VLOOKUP(B182,'2-Kosten per locatie'!$A$12:$C$23,3,FALSE)</f>
        <v>0</v>
      </c>
      <c r="Q182" s="74">
        <f t="shared" si="16"/>
        <v>0</v>
      </c>
      <c r="R182" s="75" t="str">
        <f>VLOOKUP(H182,'3-Productie normen'!A:L,12,FALSE)</f>
        <v>L</v>
      </c>
      <c r="S182" s="75"/>
      <c r="U182" s="41">
        <f t="shared" si="17"/>
        <v>4682</v>
      </c>
    </row>
    <row r="183" spans="1:21" ht="14.1" customHeight="1">
      <c r="A183" s="54">
        <f t="shared" si="12"/>
        <v>183</v>
      </c>
      <c r="B183" s="70" t="s">
        <v>409</v>
      </c>
      <c r="C183" s="70"/>
      <c r="D183" s="416" t="s">
        <v>410</v>
      </c>
      <c r="E183" s="416" t="s">
        <v>89</v>
      </c>
      <c r="F183" s="71" t="s">
        <v>414</v>
      </c>
      <c r="G183" s="40" t="s">
        <v>230</v>
      </c>
      <c r="H183" s="40" t="s">
        <v>230</v>
      </c>
      <c r="I183" s="40" t="s">
        <v>245</v>
      </c>
      <c r="J183" s="460">
        <v>1.59</v>
      </c>
      <c r="K183" s="371">
        <f t="shared" si="13"/>
        <v>200</v>
      </c>
      <c r="L183" s="72">
        <v>200</v>
      </c>
      <c r="M183" s="72"/>
      <c r="N183" s="73" t="e">
        <f t="shared" si="14"/>
        <v>#DIV/0!</v>
      </c>
      <c r="O183" s="73">
        <f t="shared" si="15"/>
        <v>0</v>
      </c>
      <c r="P183" s="74">
        <f>IF(L183="nio",0,IF(L183&gt;0,VLOOKUP(H183,'3-Productie normen'!A:J,VLOOKUP(L183,'3-Productie normen'!$B$33:$C$38,2,FALSE),FALSE)))/VLOOKUP(B183,'2-Kosten per locatie'!$A$12:$C$23,3,FALSE)</f>
        <v>0</v>
      </c>
      <c r="Q183" s="74">
        <f t="shared" si="16"/>
        <v>0</v>
      </c>
      <c r="R183" s="75" t="str">
        <f>VLOOKUP(H183,'3-Productie normen'!A:L,12,FALSE)</f>
        <v>S</v>
      </c>
      <c r="S183" s="75"/>
      <c r="U183" s="41">
        <f t="shared" si="17"/>
        <v>318</v>
      </c>
    </row>
    <row r="184" spans="1:21" ht="14.1" customHeight="1">
      <c r="A184" s="54">
        <f t="shared" si="12"/>
        <v>184</v>
      </c>
      <c r="B184" s="70" t="s">
        <v>409</v>
      </c>
      <c r="C184" s="70"/>
      <c r="D184" s="416" t="s">
        <v>410</v>
      </c>
      <c r="E184" s="416" t="s">
        <v>89</v>
      </c>
      <c r="F184" s="71" t="s">
        <v>415</v>
      </c>
      <c r="G184" s="70" t="s">
        <v>230</v>
      </c>
      <c r="H184" s="70" t="s">
        <v>230</v>
      </c>
      <c r="I184" s="40" t="s">
        <v>225</v>
      </c>
      <c r="J184" s="460">
        <v>39.590000000000003</v>
      </c>
      <c r="K184" s="371">
        <f t="shared" si="13"/>
        <v>200</v>
      </c>
      <c r="L184" s="72">
        <v>200</v>
      </c>
      <c r="M184" s="72"/>
      <c r="N184" s="73" t="e">
        <f t="shared" si="14"/>
        <v>#DIV/0!</v>
      </c>
      <c r="O184" s="73">
        <f t="shared" si="15"/>
        <v>0</v>
      </c>
      <c r="P184" s="74">
        <f>IF(L184="nio",0,IF(L184&gt;0,VLOOKUP(H184,'3-Productie normen'!A:J,VLOOKUP(L184,'3-Productie normen'!$B$33:$C$38,2,FALSE),FALSE)))/VLOOKUP(B184,'2-Kosten per locatie'!$A$12:$C$23,3,FALSE)</f>
        <v>0</v>
      </c>
      <c r="Q184" s="74">
        <f t="shared" si="16"/>
        <v>0</v>
      </c>
      <c r="R184" s="75" t="str">
        <f>VLOOKUP(H184,'3-Productie normen'!A:L,12,FALSE)</f>
        <v>S</v>
      </c>
      <c r="S184" s="75"/>
      <c r="U184" s="41">
        <f t="shared" si="17"/>
        <v>7918.0000000000009</v>
      </c>
    </row>
    <row r="185" spans="1:21" ht="14.1" customHeight="1">
      <c r="A185" s="54">
        <f t="shared" si="12"/>
        <v>185</v>
      </c>
      <c r="B185" s="70" t="s">
        <v>409</v>
      </c>
      <c r="C185" s="70"/>
      <c r="D185" s="416" t="s">
        <v>410</v>
      </c>
      <c r="E185" s="416" t="s">
        <v>89</v>
      </c>
      <c r="F185" s="71">
        <v>6</v>
      </c>
      <c r="G185" s="70" t="s">
        <v>248</v>
      </c>
      <c r="H185" s="70" t="s">
        <v>232</v>
      </c>
      <c r="I185" s="40" t="s">
        <v>245</v>
      </c>
      <c r="J185" s="460">
        <v>87.92</v>
      </c>
      <c r="K185" s="371">
        <f t="shared" si="13"/>
        <v>200</v>
      </c>
      <c r="L185" s="72">
        <v>200</v>
      </c>
      <c r="M185" s="72"/>
      <c r="N185" s="73" t="e">
        <f t="shared" si="14"/>
        <v>#DIV/0!</v>
      </c>
      <c r="O185" s="73">
        <f t="shared" si="15"/>
        <v>0</v>
      </c>
      <c r="P185" s="74">
        <f>IF(L185="nio",0,IF(L185&gt;0,VLOOKUP(H185,'3-Productie normen'!A:J,VLOOKUP(L185,'3-Productie normen'!$B$33:$C$38,2,FALSE),FALSE)))/VLOOKUP(B185,'2-Kosten per locatie'!$A$12:$C$23,3,FALSE)</f>
        <v>0</v>
      </c>
      <c r="Q185" s="74">
        <f t="shared" si="16"/>
        <v>0</v>
      </c>
      <c r="R185" s="75" t="str">
        <f>VLOOKUP(H185,'3-Productie normen'!A:L,12,FALSE)</f>
        <v>V</v>
      </c>
      <c r="S185" s="75"/>
      <c r="U185" s="41">
        <f t="shared" si="17"/>
        <v>17584</v>
      </c>
    </row>
    <row r="186" spans="1:21" ht="14.1" customHeight="1">
      <c r="A186" s="54">
        <f t="shared" si="12"/>
        <v>186</v>
      </c>
      <c r="B186" s="70" t="s">
        <v>409</v>
      </c>
      <c r="C186" s="70"/>
      <c r="D186" s="416" t="s">
        <v>410</v>
      </c>
      <c r="E186" s="416" t="s">
        <v>89</v>
      </c>
      <c r="F186" s="71">
        <v>7</v>
      </c>
      <c r="G186" s="70" t="s">
        <v>252</v>
      </c>
      <c r="H186" s="70" t="s">
        <v>101</v>
      </c>
      <c r="I186" s="40" t="s">
        <v>245</v>
      </c>
      <c r="J186" s="460">
        <v>0.82</v>
      </c>
      <c r="K186" s="371">
        <f t="shared" si="13"/>
        <v>0</v>
      </c>
      <c r="L186" s="72" t="s">
        <v>101</v>
      </c>
      <c r="M186" s="72"/>
      <c r="N186" s="73">
        <f t="shared" si="14"/>
        <v>0</v>
      </c>
      <c r="O186" s="73">
        <f t="shared" si="15"/>
        <v>0</v>
      </c>
      <c r="P186" s="74">
        <f>IF(L186="nio",0,IF(L186&gt;0,VLOOKUP(H186,'3-Productie normen'!A:J,VLOOKUP(L186,'3-Productie normen'!$B$33:$C$38,2,FALSE),FALSE)))/VLOOKUP(B186,'2-Kosten per locatie'!$A$12:$C$23,3,FALSE)</f>
        <v>0</v>
      </c>
      <c r="Q186" s="74">
        <f t="shared" si="16"/>
        <v>0</v>
      </c>
      <c r="R186" s="75">
        <f>VLOOKUP(H186,'3-Productie normen'!A:L,12,FALSE)</f>
        <v>0</v>
      </c>
      <c r="S186" s="75"/>
      <c r="U186" s="41">
        <f t="shared" si="17"/>
        <v>0</v>
      </c>
    </row>
    <row r="187" spans="1:21" ht="14.1" customHeight="1">
      <c r="A187" s="54">
        <f t="shared" si="12"/>
        <v>187</v>
      </c>
      <c r="B187" s="70" t="s">
        <v>409</v>
      </c>
      <c r="C187" s="70"/>
      <c r="D187" s="416" t="s">
        <v>410</v>
      </c>
      <c r="E187" s="416" t="s">
        <v>89</v>
      </c>
      <c r="F187" s="71">
        <v>8</v>
      </c>
      <c r="G187" s="40" t="s">
        <v>17</v>
      </c>
      <c r="H187" s="40" t="s">
        <v>17</v>
      </c>
      <c r="I187" s="40" t="s">
        <v>245</v>
      </c>
      <c r="J187" s="460">
        <v>0.88</v>
      </c>
      <c r="K187" s="371">
        <f t="shared" si="13"/>
        <v>200</v>
      </c>
      <c r="L187" s="72">
        <v>200</v>
      </c>
      <c r="M187" s="72"/>
      <c r="N187" s="73" t="e">
        <f t="shared" si="14"/>
        <v>#DIV/0!</v>
      </c>
      <c r="O187" s="73">
        <f t="shared" si="15"/>
        <v>0</v>
      </c>
      <c r="P187" s="74">
        <f>IF(L187="nio",0,IF(L187&gt;0,VLOOKUP(H187,'3-Productie normen'!A:J,VLOOKUP(L187,'3-Productie normen'!$B$33:$C$38,2,FALSE),FALSE)))/VLOOKUP(B187,'2-Kosten per locatie'!$A$12:$C$23,3,FALSE)</f>
        <v>0</v>
      </c>
      <c r="Q187" s="74">
        <f t="shared" si="16"/>
        <v>0</v>
      </c>
      <c r="R187" s="75" t="str">
        <f>VLOOKUP(H187,'3-Productie normen'!A:L,12,FALSE)</f>
        <v>S</v>
      </c>
      <c r="S187" s="75"/>
      <c r="U187" s="41">
        <f t="shared" si="17"/>
        <v>176</v>
      </c>
    </row>
    <row r="188" spans="1:21" ht="14.1" customHeight="1">
      <c r="A188" s="54">
        <f t="shared" si="12"/>
        <v>188</v>
      </c>
      <c r="B188" s="70" t="s">
        <v>409</v>
      </c>
      <c r="C188" s="70"/>
      <c r="D188" s="416" t="s">
        <v>410</v>
      </c>
      <c r="E188" s="416" t="s">
        <v>89</v>
      </c>
      <c r="F188" s="71">
        <v>9</v>
      </c>
      <c r="G188" s="40" t="s">
        <v>17</v>
      </c>
      <c r="H188" s="40" t="s">
        <v>17</v>
      </c>
      <c r="I188" s="40" t="s">
        <v>245</v>
      </c>
      <c r="J188" s="460">
        <v>0.88</v>
      </c>
      <c r="K188" s="371">
        <f t="shared" si="13"/>
        <v>200</v>
      </c>
      <c r="L188" s="72">
        <v>200</v>
      </c>
      <c r="M188" s="72"/>
      <c r="N188" s="73" t="e">
        <f t="shared" si="14"/>
        <v>#DIV/0!</v>
      </c>
      <c r="O188" s="73">
        <f t="shared" si="15"/>
        <v>0</v>
      </c>
      <c r="P188" s="74">
        <f>IF(L188="nio",0,IF(L188&gt;0,VLOOKUP(H188,'3-Productie normen'!A:J,VLOOKUP(L188,'3-Productie normen'!$B$33:$C$38,2,FALSE),FALSE)))/VLOOKUP(B188,'2-Kosten per locatie'!$A$12:$C$23,3,FALSE)</f>
        <v>0</v>
      </c>
      <c r="Q188" s="74">
        <f t="shared" si="16"/>
        <v>0</v>
      </c>
      <c r="R188" s="75" t="str">
        <f>VLOOKUP(H188,'3-Productie normen'!A:L,12,FALSE)</f>
        <v>S</v>
      </c>
      <c r="S188" s="75"/>
      <c r="U188" s="41">
        <f t="shared" si="17"/>
        <v>176</v>
      </c>
    </row>
    <row r="189" spans="1:21" ht="14.1" customHeight="1">
      <c r="A189" s="54">
        <f t="shared" si="12"/>
        <v>189</v>
      </c>
      <c r="B189" s="70" t="s">
        <v>409</v>
      </c>
      <c r="C189" s="70"/>
      <c r="D189" s="416" t="s">
        <v>410</v>
      </c>
      <c r="E189" s="416" t="s">
        <v>89</v>
      </c>
      <c r="F189" s="71">
        <v>10</v>
      </c>
      <c r="G189" s="40" t="s">
        <v>17</v>
      </c>
      <c r="H189" s="40" t="s">
        <v>17</v>
      </c>
      <c r="I189" s="40" t="s">
        <v>245</v>
      </c>
      <c r="J189" s="460">
        <v>0.88</v>
      </c>
      <c r="K189" s="371">
        <f t="shared" si="13"/>
        <v>200</v>
      </c>
      <c r="L189" s="72">
        <v>200</v>
      </c>
      <c r="M189" s="72"/>
      <c r="N189" s="73" t="e">
        <f t="shared" si="14"/>
        <v>#DIV/0!</v>
      </c>
      <c r="O189" s="73">
        <f t="shared" si="15"/>
        <v>0</v>
      </c>
      <c r="P189" s="74">
        <f>IF(L189="nio",0,IF(L189&gt;0,VLOOKUP(H189,'3-Productie normen'!A:J,VLOOKUP(L189,'3-Productie normen'!$B$33:$C$38,2,FALSE),FALSE)))/VLOOKUP(B189,'2-Kosten per locatie'!$A$12:$C$23,3,FALSE)</f>
        <v>0</v>
      </c>
      <c r="Q189" s="74">
        <f t="shared" si="16"/>
        <v>0</v>
      </c>
      <c r="R189" s="75" t="str">
        <f>VLOOKUP(H189,'3-Productie normen'!A:L,12,FALSE)</f>
        <v>S</v>
      </c>
      <c r="S189" s="75"/>
      <c r="U189" s="41">
        <f t="shared" si="17"/>
        <v>176</v>
      </c>
    </row>
    <row r="190" spans="1:21" ht="14.1" customHeight="1">
      <c r="A190" s="54">
        <f t="shared" si="12"/>
        <v>190</v>
      </c>
      <c r="B190" s="70" t="s">
        <v>409</v>
      </c>
      <c r="C190" s="70"/>
      <c r="D190" s="416" t="s">
        <v>410</v>
      </c>
      <c r="E190" s="416" t="s">
        <v>89</v>
      </c>
      <c r="F190" s="71">
        <v>11</v>
      </c>
      <c r="G190" s="40" t="s">
        <v>17</v>
      </c>
      <c r="H190" s="40" t="s">
        <v>17</v>
      </c>
      <c r="I190" s="40" t="s">
        <v>245</v>
      </c>
      <c r="J190" s="460">
        <v>0.88</v>
      </c>
      <c r="K190" s="371">
        <f t="shared" si="13"/>
        <v>200</v>
      </c>
      <c r="L190" s="72">
        <v>200</v>
      </c>
      <c r="M190" s="72"/>
      <c r="N190" s="73" t="e">
        <f t="shared" si="14"/>
        <v>#DIV/0!</v>
      </c>
      <c r="O190" s="73">
        <f t="shared" si="15"/>
        <v>0</v>
      </c>
      <c r="P190" s="74">
        <f>IF(L190="nio",0,IF(L190&gt;0,VLOOKUP(H190,'3-Productie normen'!A:J,VLOOKUP(L190,'3-Productie normen'!$B$33:$C$38,2,FALSE),FALSE)))/VLOOKUP(B190,'2-Kosten per locatie'!$A$12:$C$23,3,FALSE)</f>
        <v>0</v>
      </c>
      <c r="Q190" s="74">
        <f t="shared" si="16"/>
        <v>0</v>
      </c>
      <c r="R190" s="75" t="str">
        <f>VLOOKUP(H190,'3-Productie normen'!A:L,12,FALSE)</f>
        <v>S</v>
      </c>
      <c r="S190" s="75"/>
      <c r="U190" s="41">
        <f t="shared" si="17"/>
        <v>176</v>
      </c>
    </row>
    <row r="191" spans="1:21" ht="14.1" customHeight="1">
      <c r="A191" s="54">
        <f t="shared" si="12"/>
        <v>191</v>
      </c>
      <c r="B191" s="70" t="s">
        <v>409</v>
      </c>
      <c r="C191" s="70"/>
      <c r="D191" s="416" t="s">
        <v>410</v>
      </c>
      <c r="E191" s="416" t="s">
        <v>89</v>
      </c>
      <c r="F191" s="71">
        <v>12</v>
      </c>
      <c r="G191" s="77" t="s">
        <v>17</v>
      </c>
      <c r="H191" s="77" t="s">
        <v>17</v>
      </c>
      <c r="I191" s="40" t="s">
        <v>245</v>
      </c>
      <c r="J191" s="460">
        <v>0.88</v>
      </c>
      <c r="K191" s="371">
        <f t="shared" si="13"/>
        <v>200</v>
      </c>
      <c r="L191" s="72">
        <v>200</v>
      </c>
      <c r="M191" s="72"/>
      <c r="N191" s="73" t="e">
        <f t="shared" si="14"/>
        <v>#DIV/0!</v>
      </c>
      <c r="O191" s="73">
        <f t="shared" si="15"/>
        <v>0</v>
      </c>
      <c r="P191" s="74">
        <f>IF(L191="nio",0,IF(L191&gt;0,VLOOKUP(H191,'3-Productie normen'!A:J,VLOOKUP(L191,'3-Productie normen'!$B$33:$C$38,2,FALSE),FALSE)))/VLOOKUP(B191,'2-Kosten per locatie'!$A$12:$C$23,3,FALSE)</f>
        <v>0</v>
      </c>
      <c r="Q191" s="74">
        <f t="shared" si="16"/>
        <v>0</v>
      </c>
      <c r="R191" s="75" t="str">
        <f>VLOOKUP(H191,'3-Productie normen'!A:L,12,FALSE)</f>
        <v>S</v>
      </c>
      <c r="S191" s="75"/>
      <c r="U191" s="41">
        <f t="shared" si="17"/>
        <v>176</v>
      </c>
    </row>
    <row r="192" spans="1:21" ht="14.1" customHeight="1">
      <c r="A192" s="54">
        <f t="shared" si="12"/>
        <v>192</v>
      </c>
      <c r="B192" s="70" t="s">
        <v>409</v>
      </c>
      <c r="C192" s="70"/>
      <c r="D192" s="416" t="s">
        <v>410</v>
      </c>
      <c r="E192" s="416" t="s">
        <v>89</v>
      </c>
      <c r="F192" s="71">
        <v>13</v>
      </c>
      <c r="G192" s="40" t="s">
        <v>17</v>
      </c>
      <c r="H192" s="40" t="s">
        <v>17</v>
      </c>
      <c r="I192" s="78" t="s">
        <v>245</v>
      </c>
      <c r="J192" s="460">
        <v>0.88</v>
      </c>
      <c r="K192" s="371">
        <f t="shared" si="13"/>
        <v>200</v>
      </c>
      <c r="L192" s="72">
        <v>200</v>
      </c>
      <c r="M192" s="72"/>
      <c r="N192" s="73" t="e">
        <f t="shared" si="14"/>
        <v>#DIV/0!</v>
      </c>
      <c r="O192" s="73">
        <f t="shared" si="15"/>
        <v>0</v>
      </c>
      <c r="P192" s="74">
        <f>IF(L192="nio",0,IF(L192&gt;0,VLOOKUP(H192,'3-Productie normen'!A:J,VLOOKUP(L192,'3-Productie normen'!$B$33:$C$38,2,FALSE),FALSE)))/VLOOKUP(B192,'2-Kosten per locatie'!$A$12:$C$23,3,FALSE)</f>
        <v>0</v>
      </c>
      <c r="Q192" s="74">
        <f t="shared" si="16"/>
        <v>0</v>
      </c>
      <c r="R192" s="75" t="str">
        <f>VLOOKUP(H192,'3-Productie normen'!A:L,12,FALSE)</f>
        <v>S</v>
      </c>
      <c r="S192" s="75"/>
      <c r="U192" s="41">
        <f t="shared" si="17"/>
        <v>176</v>
      </c>
    </row>
    <row r="193" spans="1:21" ht="14.1" customHeight="1">
      <c r="A193" s="54">
        <f t="shared" si="12"/>
        <v>193</v>
      </c>
      <c r="B193" s="70" t="s">
        <v>409</v>
      </c>
      <c r="C193" s="70"/>
      <c r="D193" s="416" t="s">
        <v>410</v>
      </c>
      <c r="E193" s="416" t="s">
        <v>89</v>
      </c>
      <c r="F193" s="71">
        <v>14</v>
      </c>
      <c r="G193" s="70" t="s">
        <v>252</v>
      </c>
      <c r="H193" s="70" t="s">
        <v>101</v>
      </c>
      <c r="I193" s="40" t="s">
        <v>245</v>
      </c>
      <c r="J193" s="460">
        <v>0.95</v>
      </c>
      <c r="K193" s="371">
        <f t="shared" si="13"/>
        <v>0</v>
      </c>
      <c r="L193" s="72" t="s">
        <v>101</v>
      </c>
      <c r="M193" s="72"/>
      <c r="N193" s="73">
        <f t="shared" si="14"/>
        <v>0</v>
      </c>
      <c r="O193" s="73">
        <f t="shared" si="15"/>
        <v>0</v>
      </c>
      <c r="P193" s="74">
        <f>IF(L193="nio",0,IF(L193&gt;0,VLOOKUP(H193,'3-Productie normen'!A:J,VLOOKUP(L193,'3-Productie normen'!$B$33:$C$38,2,FALSE),FALSE)))/VLOOKUP(B193,'2-Kosten per locatie'!$A$12:$C$23,3,FALSE)</f>
        <v>0</v>
      </c>
      <c r="Q193" s="74">
        <f t="shared" si="16"/>
        <v>0</v>
      </c>
      <c r="R193" s="75">
        <f>VLOOKUP(H193,'3-Productie normen'!A:L,12,FALSE)</f>
        <v>0</v>
      </c>
      <c r="S193" s="75"/>
      <c r="U193" s="41">
        <f t="shared" si="17"/>
        <v>0</v>
      </c>
    </row>
    <row r="194" spans="1:21" ht="14.1" customHeight="1">
      <c r="A194" s="54">
        <f t="shared" si="12"/>
        <v>194</v>
      </c>
      <c r="B194" s="70" t="s">
        <v>409</v>
      </c>
      <c r="C194" s="70"/>
      <c r="D194" s="416" t="s">
        <v>410</v>
      </c>
      <c r="E194" s="416" t="s">
        <v>89</v>
      </c>
      <c r="F194" s="71">
        <v>15</v>
      </c>
      <c r="G194" s="70" t="s">
        <v>233</v>
      </c>
      <c r="H194" s="70" t="s">
        <v>233</v>
      </c>
      <c r="I194" s="40" t="s">
        <v>225</v>
      </c>
      <c r="J194" s="460">
        <v>39.450000000000003</v>
      </c>
      <c r="K194" s="371">
        <f t="shared" si="13"/>
        <v>200</v>
      </c>
      <c r="L194" s="72">
        <v>200</v>
      </c>
      <c r="M194" s="72"/>
      <c r="N194" s="73" t="e">
        <f t="shared" si="14"/>
        <v>#DIV/0!</v>
      </c>
      <c r="O194" s="73">
        <f t="shared" si="15"/>
        <v>0</v>
      </c>
      <c r="P194" s="74">
        <f>IF(L194="nio",0,IF(L194&gt;0,VLOOKUP(H194,'3-Productie normen'!A:J,VLOOKUP(L194,'3-Productie normen'!$B$33:$C$38,2,FALSE),FALSE)))/VLOOKUP(B194,'2-Kosten per locatie'!$A$12:$C$23,3,FALSE)</f>
        <v>0</v>
      </c>
      <c r="Q194" s="74">
        <f t="shared" si="16"/>
        <v>0</v>
      </c>
      <c r="R194" s="75" t="str">
        <f>VLOOKUP(H194,'3-Productie normen'!A:L,12,FALSE)</f>
        <v>L</v>
      </c>
      <c r="S194" s="75"/>
      <c r="U194" s="41">
        <f t="shared" si="17"/>
        <v>7890.0000000000009</v>
      </c>
    </row>
    <row r="195" spans="1:21" ht="14.1" customHeight="1">
      <c r="A195" s="54">
        <f t="shared" ref="A195:A258" si="18">A194+1</f>
        <v>195</v>
      </c>
      <c r="B195" s="70" t="s">
        <v>409</v>
      </c>
      <c r="C195" s="70"/>
      <c r="D195" s="416" t="s">
        <v>410</v>
      </c>
      <c r="E195" s="416"/>
      <c r="F195" s="71">
        <v>16</v>
      </c>
      <c r="G195" s="70" t="s">
        <v>233</v>
      </c>
      <c r="H195" s="70" t="s">
        <v>233</v>
      </c>
      <c r="I195" s="40" t="s">
        <v>225</v>
      </c>
      <c r="J195" s="460">
        <v>39.479999999999997</v>
      </c>
      <c r="K195" s="371">
        <f t="shared" si="13"/>
        <v>200</v>
      </c>
      <c r="L195" s="72">
        <v>200</v>
      </c>
      <c r="M195" s="72"/>
      <c r="N195" s="73" t="e">
        <f t="shared" si="14"/>
        <v>#DIV/0!</v>
      </c>
      <c r="O195" s="73">
        <f t="shared" si="15"/>
        <v>0</v>
      </c>
      <c r="P195" s="74">
        <f>IF(L195="nio",0,IF(L195&gt;0,VLOOKUP(H195,'3-Productie normen'!A:J,VLOOKUP(L195,'3-Productie normen'!$B$33:$C$38,2,FALSE),FALSE)))/VLOOKUP(B195,'2-Kosten per locatie'!$A$12:$C$23,3,FALSE)</f>
        <v>0</v>
      </c>
      <c r="Q195" s="74">
        <f t="shared" si="16"/>
        <v>0</v>
      </c>
      <c r="R195" s="75" t="str">
        <f>VLOOKUP(H195,'3-Productie normen'!A:L,12,FALSE)</f>
        <v>L</v>
      </c>
      <c r="S195" s="75"/>
      <c r="U195" s="41">
        <f t="shared" si="17"/>
        <v>7895.9999999999991</v>
      </c>
    </row>
    <row r="196" spans="1:21" ht="14.1" customHeight="1">
      <c r="A196" s="54">
        <f t="shared" si="18"/>
        <v>196</v>
      </c>
      <c r="B196" s="70" t="s">
        <v>409</v>
      </c>
      <c r="C196" s="70"/>
      <c r="D196" s="416" t="s">
        <v>410</v>
      </c>
      <c r="E196" s="416" t="s">
        <v>89</v>
      </c>
      <c r="F196" s="71">
        <v>17</v>
      </c>
      <c r="G196" s="40" t="s">
        <v>233</v>
      </c>
      <c r="H196" s="40" t="s">
        <v>233</v>
      </c>
      <c r="I196" s="40" t="s">
        <v>225</v>
      </c>
      <c r="J196" s="460">
        <v>39.840000000000003</v>
      </c>
      <c r="K196" s="371">
        <f t="shared" si="13"/>
        <v>200</v>
      </c>
      <c r="L196" s="72">
        <v>200</v>
      </c>
      <c r="M196" s="72"/>
      <c r="N196" s="73" t="e">
        <f t="shared" si="14"/>
        <v>#DIV/0!</v>
      </c>
      <c r="O196" s="73">
        <f t="shared" si="15"/>
        <v>0</v>
      </c>
      <c r="P196" s="74">
        <f>IF(L196="nio",0,IF(L196&gt;0,VLOOKUP(H196,'3-Productie normen'!A:J,VLOOKUP(L196,'3-Productie normen'!$B$33:$C$38,2,FALSE),FALSE)))/VLOOKUP(B196,'2-Kosten per locatie'!$A$12:$C$23,3,FALSE)</f>
        <v>0</v>
      </c>
      <c r="Q196" s="74">
        <f t="shared" si="16"/>
        <v>0</v>
      </c>
      <c r="R196" s="75" t="str">
        <f>VLOOKUP(H196,'3-Productie normen'!A:L,12,FALSE)</f>
        <v>L</v>
      </c>
      <c r="S196" s="75"/>
      <c r="U196" s="41">
        <f t="shared" si="17"/>
        <v>7968.0000000000009</v>
      </c>
    </row>
    <row r="197" spans="1:21" ht="14.1" customHeight="1">
      <c r="A197" s="54">
        <f t="shared" si="18"/>
        <v>197</v>
      </c>
      <c r="B197" s="70" t="s">
        <v>409</v>
      </c>
      <c r="C197" s="70"/>
      <c r="D197" s="416" t="s">
        <v>410</v>
      </c>
      <c r="E197" s="416" t="s">
        <v>89</v>
      </c>
      <c r="F197" s="71">
        <v>18</v>
      </c>
      <c r="G197" s="40" t="s">
        <v>233</v>
      </c>
      <c r="H197" s="40" t="s">
        <v>233</v>
      </c>
      <c r="I197" s="40" t="s">
        <v>225</v>
      </c>
      <c r="J197" s="460">
        <v>39.520000000000003</v>
      </c>
      <c r="K197" s="371">
        <f t="shared" si="13"/>
        <v>200</v>
      </c>
      <c r="L197" s="72">
        <v>200</v>
      </c>
      <c r="M197" s="72"/>
      <c r="N197" s="73" t="e">
        <f t="shared" si="14"/>
        <v>#DIV/0!</v>
      </c>
      <c r="O197" s="73">
        <f t="shared" si="15"/>
        <v>0</v>
      </c>
      <c r="P197" s="74">
        <f>IF(L197="nio",0,IF(L197&gt;0,VLOOKUP(H197,'3-Productie normen'!A:J,VLOOKUP(L197,'3-Productie normen'!$B$33:$C$38,2,FALSE),FALSE)))/VLOOKUP(B197,'2-Kosten per locatie'!$A$12:$C$23,3,FALSE)</f>
        <v>0</v>
      </c>
      <c r="Q197" s="74">
        <f t="shared" si="16"/>
        <v>0</v>
      </c>
      <c r="R197" s="75" t="str">
        <f>VLOOKUP(H197,'3-Productie normen'!A:L,12,FALSE)</f>
        <v>L</v>
      </c>
      <c r="S197" s="75"/>
      <c r="U197" s="41">
        <f t="shared" si="17"/>
        <v>7904.0000000000009</v>
      </c>
    </row>
    <row r="198" spans="1:21" ht="14.1" customHeight="1">
      <c r="A198" s="54">
        <f t="shared" si="18"/>
        <v>198</v>
      </c>
      <c r="B198" s="70" t="s">
        <v>409</v>
      </c>
      <c r="C198" s="70"/>
      <c r="D198" s="416" t="s">
        <v>410</v>
      </c>
      <c r="E198" s="416" t="s">
        <v>89</v>
      </c>
      <c r="F198" s="71">
        <v>19</v>
      </c>
      <c r="G198" s="40" t="s">
        <v>247</v>
      </c>
      <c r="H198" s="40" t="s">
        <v>90</v>
      </c>
      <c r="I198" s="40" t="s">
        <v>245</v>
      </c>
      <c r="J198" s="460">
        <v>22.52</v>
      </c>
      <c r="K198" s="371">
        <f t="shared" si="13"/>
        <v>200</v>
      </c>
      <c r="L198" s="72">
        <v>200</v>
      </c>
      <c r="M198" s="72"/>
      <c r="N198" s="73" t="e">
        <f t="shared" si="14"/>
        <v>#DIV/0!</v>
      </c>
      <c r="O198" s="73">
        <f t="shared" si="15"/>
        <v>0</v>
      </c>
      <c r="P198" s="74">
        <f>IF(L198="nio",0,IF(L198&gt;0,VLOOKUP(H198,'3-Productie normen'!A:J,VLOOKUP(L198,'3-Productie normen'!$B$33:$C$38,2,FALSE),FALSE)))/VLOOKUP(B198,'2-Kosten per locatie'!$A$12:$C$23,3,FALSE)</f>
        <v>0</v>
      </c>
      <c r="Q198" s="74">
        <f t="shared" si="16"/>
        <v>0</v>
      </c>
      <c r="R198" s="75" t="str">
        <f>VLOOKUP(H198,'3-Productie normen'!A:L,12,FALSE)</f>
        <v>V</v>
      </c>
      <c r="S198" s="75"/>
      <c r="U198" s="41">
        <f t="shared" si="17"/>
        <v>4504</v>
      </c>
    </row>
    <row r="199" spans="1:21" ht="14.1" customHeight="1">
      <c r="A199" s="54">
        <f t="shared" si="18"/>
        <v>199</v>
      </c>
      <c r="B199" s="70" t="s">
        <v>409</v>
      </c>
      <c r="C199" s="70"/>
      <c r="D199" s="416" t="s">
        <v>410</v>
      </c>
      <c r="E199" s="416" t="s">
        <v>89</v>
      </c>
      <c r="F199" s="71">
        <v>20</v>
      </c>
      <c r="G199" s="40" t="s">
        <v>176</v>
      </c>
      <c r="H199" s="40" t="s">
        <v>176</v>
      </c>
      <c r="I199" s="40" t="s">
        <v>225</v>
      </c>
      <c r="J199" s="460">
        <v>23.39</v>
      </c>
      <c r="K199" s="371">
        <f t="shared" si="13"/>
        <v>200</v>
      </c>
      <c r="L199" s="72">
        <v>200</v>
      </c>
      <c r="M199" s="72"/>
      <c r="N199" s="73" t="e">
        <f t="shared" si="14"/>
        <v>#DIV/0!</v>
      </c>
      <c r="O199" s="73">
        <f t="shared" si="15"/>
        <v>0</v>
      </c>
      <c r="P199" s="74">
        <f>IF(L199="nio",0,IF(L199&gt;0,VLOOKUP(H199,'3-Productie normen'!A:J,VLOOKUP(L199,'3-Productie normen'!$B$33:$C$38,2,FALSE),FALSE)))/VLOOKUP(B199,'2-Kosten per locatie'!$A$12:$C$23,3,FALSE)</f>
        <v>0</v>
      </c>
      <c r="Q199" s="74">
        <f t="shared" si="16"/>
        <v>0</v>
      </c>
      <c r="R199" s="75" t="str">
        <f>VLOOKUP(H199,'3-Productie normen'!A:L,12,FALSE)</f>
        <v>B</v>
      </c>
      <c r="S199" s="75"/>
      <c r="U199" s="41">
        <f t="shared" si="17"/>
        <v>4678</v>
      </c>
    </row>
    <row r="200" spans="1:21" ht="14.1" customHeight="1">
      <c r="A200" s="54">
        <f t="shared" si="18"/>
        <v>200</v>
      </c>
      <c r="B200" s="70" t="s">
        <v>409</v>
      </c>
      <c r="C200" s="70"/>
      <c r="D200" s="416" t="s">
        <v>410</v>
      </c>
      <c r="E200" s="416" t="s">
        <v>89</v>
      </c>
      <c r="F200" s="71">
        <v>21</v>
      </c>
      <c r="G200" s="77" t="s">
        <v>252</v>
      </c>
      <c r="H200" s="77" t="s">
        <v>101</v>
      </c>
      <c r="I200" s="40" t="s">
        <v>225</v>
      </c>
      <c r="J200" s="460">
        <v>12.62</v>
      </c>
      <c r="K200" s="371">
        <f t="shared" si="13"/>
        <v>0</v>
      </c>
      <c r="L200" s="72" t="s">
        <v>101</v>
      </c>
      <c r="M200" s="72"/>
      <c r="N200" s="73">
        <f t="shared" si="14"/>
        <v>0</v>
      </c>
      <c r="O200" s="73">
        <f t="shared" si="15"/>
        <v>0</v>
      </c>
      <c r="P200" s="74">
        <f>IF(L200="nio",0,IF(L200&gt;0,VLOOKUP(H200,'3-Productie normen'!A:J,VLOOKUP(L200,'3-Productie normen'!$B$33:$C$38,2,FALSE),FALSE)))/VLOOKUP(B200,'2-Kosten per locatie'!$A$12:$C$23,3,FALSE)</f>
        <v>0</v>
      </c>
      <c r="Q200" s="74">
        <f t="shared" si="16"/>
        <v>0</v>
      </c>
      <c r="R200" s="75">
        <f>VLOOKUP(H200,'3-Productie normen'!A:L,12,FALSE)</f>
        <v>0</v>
      </c>
      <c r="S200" s="75"/>
      <c r="U200" s="41">
        <f t="shared" si="17"/>
        <v>0</v>
      </c>
    </row>
    <row r="201" spans="1:21" ht="14.1" customHeight="1">
      <c r="A201" s="54">
        <f t="shared" si="18"/>
        <v>201</v>
      </c>
      <c r="B201" s="70" t="s">
        <v>409</v>
      </c>
      <c r="C201" s="70"/>
      <c r="D201" s="416" t="s">
        <v>410</v>
      </c>
      <c r="E201" s="416" t="s">
        <v>89</v>
      </c>
      <c r="F201" s="71">
        <v>22</v>
      </c>
      <c r="G201" s="40" t="s">
        <v>17</v>
      </c>
      <c r="H201" s="40" t="s">
        <v>17</v>
      </c>
      <c r="I201" s="78" t="s">
        <v>245</v>
      </c>
      <c r="J201" s="460">
        <v>1.22</v>
      </c>
      <c r="K201" s="371">
        <f t="shared" si="13"/>
        <v>200</v>
      </c>
      <c r="L201" s="72">
        <v>200</v>
      </c>
      <c r="M201" s="72"/>
      <c r="N201" s="73" t="e">
        <f t="shared" si="14"/>
        <v>#DIV/0!</v>
      </c>
      <c r="O201" s="73">
        <f t="shared" si="15"/>
        <v>0</v>
      </c>
      <c r="P201" s="74">
        <f>IF(L201="nio",0,IF(L201&gt;0,VLOOKUP(H201,'3-Productie normen'!A:J,VLOOKUP(L201,'3-Productie normen'!$B$33:$C$38,2,FALSE),FALSE)))/VLOOKUP(B201,'2-Kosten per locatie'!$A$12:$C$23,3,FALSE)</f>
        <v>0</v>
      </c>
      <c r="Q201" s="74">
        <f t="shared" si="16"/>
        <v>0</v>
      </c>
      <c r="R201" s="75" t="str">
        <f>VLOOKUP(H201,'3-Productie normen'!A:L,12,FALSE)</f>
        <v>S</v>
      </c>
      <c r="S201" s="75"/>
      <c r="U201" s="41">
        <f t="shared" si="17"/>
        <v>244</v>
      </c>
    </row>
    <row r="202" spans="1:21" ht="14.1" customHeight="1">
      <c r="A202" s="54">
        <f t="shared" si="18"/>
        <v>202</v>
      </c>
      <c r="B202" s="70" t="s">
        <v>409</v>
      </c>
      <c r="C202" s="70"/>
      <c r="D202" s="416" t="s">
        <v>410</v>
      </c>
      <c r="E202" s="416" t="s">
        <v>89</v>
      </c>
      <c r="F202" s="79">
        <v>23</v>
      </c>
      <c r="G202" s="80" t="s">
        <v>236</v>
      </c>
      <c r="H202" s="80" t="s">
        <v>236</v>
      </c>
      <c r="I202" s="40" t="s">
        <v>250</v>
      </c>
      <c r="J202" s="460">
        <v>161.62</v>
      </c>
      <c r="K202" s="371">
        <f t="shared" ref="K202:K265" si="19">SUM(L202:M202)</f>
        <v>200</v>
      </c>
      <c r="L202" s="72">
        <v>200</v>
      </c>
      <c r="M202" s="72"/>
      <c r="N202" s="73" t="e">
        <f t="shared" ref="N202:N265" si="20">IF(L202="nio",0,IF(L202&gt;0,L202*J202/P202,0))</f>
        <v>#DIV/0!</v>
      </c>
      <c r="O202" s="73">
        <f t="shared" ref="O202:O265" si="21">IF(M202&gt;0,M202*J202/Q202,0)</f>
        <v>0</v>
      </c>
      <c r="P202" s="74">
        <f>IF(L202="nio",0,IF(L202&gt;0,VLOOKUP(H202,'3-Productie normen'!A:J,VLOOKUP(L202,'3-Productie normen'!$B$33:$C$38,2,FALSE),FALSE)))/VLOOKUP(B202,'2-Kosten per locatie'!$A$12:$C$23,3,FALSE)</f>
        <v>0</v>
      </c>
      <c r="Q202" s="74">
        <f t="shared" ref="Q202:Q265" si="22">IF(M202&gt;0,P202*$Q$8,0)</f>
        <v>0</v>
      </c>
      <c r="R202" s="75" t="str">
        <f>VLOOKUP(H202,'3-Productie normen'!A:L,12,FALSE)</f>
        <v>V</v>
      </c>
      <c r="S202" s="75"/>
      <c r="U202" s="41">
        <f t="shared" ref="U202:U265" si="23">K202*J202</f>
        <v>32324</v>
      </c>
    </row>
    <row r="203" spans="1:21" ht="14.1" customHeight="1">
      <c r="A203" s="54">
        <f t="shared" si="18"/>
        <v>203</v>
      </c>
      <c r="B203" s="70" t="s">
        <v>409</v>
      </c>
      <c r="C203" s="70"/>
      <c r="D203" s="416" t="s">
        <v>410</v>
      </c>
      <c r="E203" s="416" t="s">
        <v>89</v>
      </c>
      <c r="F203" s="71">
        <v>24</v>
      </c>
      <c r="G203" s="40" t="s">
        <v>252</v>
      </c>
      <c r="H203" s="40" t="s">
        <v>101</v>
      </c>
      <c r="I203" s="40" t="s">
        <v>250</v>
      </c>
      <c r="J203" s="460">
        <v>7.78</v>
      </c>
      <c r="K203" s="371">
        <f t="shared" si="19"/>
        <v>0</v>
      </c>
      <c r="L203" s="72" t="s">
        <v>101</v>
      </c>
      <c r="M203" s="72"/>
      <c r="N203" s="73">
        <f t="shared" si="20"/>
        <v>0</v>
      </c>
      <c r="O203" s="73">
        <f t="shared" si="21"/>
        <v>0</v>
      </c>
      <c r="P203" s="74">
        <f>IF(L203="nio",0,IF(L203&gt;0,VLOOKUP(H203,'3-Productie normen'!A:J,VLOOKUP(L203,'3-Productie normen'!$B$33:$C$38,2,FALSE),FALSE)))/VLOOKUP(B203,'2-Kosten per locatie'!$A$12:$C$23,3,FALSE)</f>
        <v>0</v>
      </c>
      <c r="Q203" s="74">
        <f t="shared" si="22"/>
        <v>0</v>
      </c>
      <c r="R203" s="75">
        <f>VLOOKUP(H203,'3-Productie normen'!A:L,12,FALSE)</f>
        <v>0</v>
      </c>
      <c r="S203" s="75"/>
      <c r="U203" s="41">
        <f t="shared" si="23"/>
        <v>0</v>
      </c>
    </row>
    <row r="204" spans="1:21" ht="14.1" customHeight="1">
      <c r="A204" s="54">
        <f t="shared" si="18"/>
        <v>204</v>
      </c>
      <c r="B204" s="70" t="s">
        <v>409</v>
      </c>
      <c r="C204" s="70"/>
      <c r="D204" s="416" t="s">
        <v>410</v>
      </c>
      <c r="E204" s="416" t="s">
        <v>89</v>
      </c>
      <c r="F204" s="71">
        <v>25</v>
      </c>
      <c r="G204" s="70" t="s">
        <v>226</v>
      </c>
      <c r="H204" s="70" t="s">
        <v>226</v>
      </c>
      <c r="I204" s="40" t="s">
        <v>229</v>
      </c>
      <c r="J204" s="460">
        <v>10.85</v>
      </c>
      <c r="K204" s="371">
        <f t="shared" si="19"/>
        <v>200</v>
      </c>
      <c r="L204" s="72">
        <v>200</v>
      </c>
      <c r="M204" s="72"/>
      <c r="N204" s="73" t="e">
        <f t="shared" si="20"/>
        <v>#DIV/0!</v>
      </c>
      <c r="O204" s="73">
        <f t="shared" si="21"/>
        <v>0</v>
      </c>
      <c r="P204" s="74">
        <f>IF(L204="nio",0,IF(L204&gt;0,VLOOKUP(H204,'3-Productie normen'!A:J,VLOOKUP(L204,'3-Productie normen'!$B$33:$C$38,2,FALSE),FALSE)))/VLOOKUP(B204,'2-Kosten per locatie'!$A$12:$C$23,3,FALSE)</f>
        <v>0</v>
      </c>
      <c r="Q204" s="74">
        <f t="shared" si="22"/>
        <v>0</v>
      </c>
      <c r="R204" s="75" t="str">
        <f>VLOOKUP(H204,'3-Productie normen'!A:L,12,FALSE)</f>
        <v>V</v>
      </c>
      <c r="S204" s="75"/>
      <c r="U204" s="41">
        <f t="shared" si="23"/>
        <v>2170</v>
      </c>
    </row>
    <row r="205" spans="1:21" ht="14.1" customHeight="1">
      <c r="A205" s="54">
        <f t="shared" si="18"/>
        <v>205</v>
      </c>
      <c r="B205" s="70" t="s">
        <v>409</v>
      </c>
      <c r="C205" s="70"/>
      <c r="D205" s="416" t="s">
        <v>410</v>
      </c>
      <c r="E205" s="416">
        <v>1</v>
      </c>
      <c r="F205" s="71">
        <v>26</v>
      </c>
      <c r="G205" s="70" t="s">
        <v>248</v>
      </c>
      <c r="H205" s="70" t="s">
        <v>232</v>
      </c>
      <c r="I205" s="40" t="s">
        <v>229</v>
      </c>
      <c r="J205" s="460">
        <v>2.44</v>
      </c>
      <c r="K205" s="371">
        <f t="shared" si="19"/>
        <v>200</v>
      </c>
      <c r="L205" s="72">
        <v>200</v>
      </c>
      <c r="M205" s="72"/>
      <c r="N205" s="73" t="e">
        <f t="shared" si="20"/>
        <v>#DIV/0!</v>
      </c>
      <c r="O205" s="73">
        <f t="shared" si="21"/>
        <v>0</v>
      </c>
      <c r="P205" s="74">
        <f>IF(L205="nio",0,IF(L205&gt;0,VLOOKUP(H205,'3-Productie normen'!A:J,VLOOKUP(L205,'3-Productie normen'!$B$33:$C$38,2,FALSE),FALSE)))/VLOOKUP(B205,'2-Kosten per locatie'!$A$12:$C$23,3,FALSE)</f>
        <v>0</v>
      </c>
      <c r="Q205" s="74">
        <f t="shared" si="22"/>
        <v>0</v>
      </c>
      <c r="R205" s="75" t="str">
        <f>VLOOKUP(H205,'3-Productie normen'!A:L,12,FALSE)</f>
        <v>V</v>
      </c>
      <c r="S205" s="75"/>
      <c r="U205" s="41">
        <f t="shared" si="23"/>
        <v>488</v>
      </c>
    </row>
    <row r="206" spans="1:21" ht="14.1" customHeight="1">
      <c r="A206" s="54">
        <f t="shared" si="18"/>
        <v>206</v>
      </c>
      <c r="B206" s="70" t="s">
        <v>409</v>
      </c>
      <c r="C206" s="70"/>
      <c r="D206" s="416" t="s">
        <v>410</v>
      </c>
      <c r="E206" s="416" t="s">
        <v>89</v>
      </c>
      <c r="F206" s="71">
        <v>27</v>
      </c>
      <c r="G206" s="70" t="s">
        <v>1</v>
      </c>
      <c r="H206" s="70" t="s">
        <v>1</v>
      </c>
      <c r="I206" s="40" t="s">
        <v>245</v>
      </c>
      <c r="J206" s="460">
        <v>18.260000000000002</v>
      </c>
      <c r="K206" s="371">
        <f t="shared" si="19"/>
        <v>200</v>
      </c>
      <c r="L206" s="72">
        <v>200</v>
      </c>
      <c r="M206" s="72"/>
      <c r="N206" s="73" t="e">
        <f t="shared" si="20"/>
        <v>#DIV/0!</v>
      </c>
      <c r="O206" s="73">
        <f t="shared" si="21"/>
        <v>0</v>
      </c>
      <c r="P206" s="74">
        <f>IF(L206="nio",0,IF(L206&gt;0,VLOOKUP(H206,'3-Productie normen'!A:J,VLOOKUP(L206,'3-Productie normen'!$B$33:$C$38,2,FALSE),FALSE)))/VLOOKUP(B206,'2-Kosten per locatie'!$A$12:$C$23,3,FALSE)</f>
        <v>0</v>
      </c>
      <c r="Q206" s="74">
        <f t="shared" si="22"/>
        <v>0</v>
      </c>
      <c r="R206" s="75" t="str">
        <f>VLOOKUP(H206,'3-Productie normen'!A:L,12,FALSE)</f>
        <v>V</v>
      </c>
      <c r="S206" s="75"/>
      <c r="U206" s="41">
        <f t="shared" si="23"/>
        <v>3652.0000000000005</v>
      </c>
    </row>
    <row r="207" spans="1:21" ht="14.1" customHeight="1">
      <c r="A207" s="54">
        <f t="shared" si="18"/>
        <v>207</v>
      </c>
      <c r="B207" s="70" t="s">
        <v>409</v>
      </c>
      <c r="C207" s="70"/>
      <c r="D207" s="416" t="s">
        <v>410</v>
      </c>
      <c r="E207" s="416" t="s">
        <v>89</v>
      </c>
      <c r="F207" s="71">
        <v>28</v>
      </c>
      <c r="G207" s="40" t="s">
        <v>17</v>
      </c>
      <c r="H207" s="40" t="s">
        <v>17</v>
      </c>
      <c r="I207" s="40" t="s">
        <v>245</v>
      </c>
      <c r="J207" s="460">
        <v>0.84</v>
      </c>
      <c r="K207" s="371">
        <f t="shared" si="19"/>
        <v>200</v>
      </c>
      <c r="L207" s="72">
        <v>200</v>
      </c>
      <c r="M207" s="72"/>
      <c r="N207" s="73" t="e">
        <f t="shared" si="20"/>
        <v>#DIV/0!</v>
      </c>
      <c r="O207" s="73">
        <f t="shared" si="21"/>
        <v>0</v>
      </c>
      <c r="P207" s="74">
        <f>IF(L207="nio",0,IF(L207&gt;0,VLOOKUP(H207,'3-Productie normen'!A:J,VLOOKUP(L207,'3-Productie normen'!$B$33:$C$38,2,FALSE),FALSE)))/VLOOKUP(B207,'2-Kosten per locatie'!$A$12:$C$23,3,FALSE)</f>
        <v>0</v>
      </c>
      <c r="Q207" s="74">
        <f t="shared" si="22"/>
        <v>0</v>
      </c>
      <c r="R207" s="75" t="str">
        <f>VLOOKUP(H207,'3-Productie normen'!A:L,12,FALSE)</f>
        <v>S</v>
      </c>
      <c r="S207" s="75"/>
      <c r="U207" s="41">
        <f t="shared" si="23"/>
        <v>168</v>
      </c>
    </row>
    <row r="208" spans="1:21" ht="14.1" customHeight="1">
      <c r="A208" s="54">
        <f t="shared" si="18"/>
        <v>208</v>
      </c>
      <c r="B208" s="70" t="s">
        <v>409</v>
      </c>
      <c r="C208" s="70"/>
      <c r="D208" s="416" t="s">
        <v>410</v>
      </c>
      <c r="E208" s="416" t="s">
        <v>89</v>
      </c>
      <c r="F208" s="71">
        <v>29</v>
      </c>
      <c r="G208" s="40" t="s">
        <v>252</v>
      </c>
      <c r="H208" s="40" t="s">
        <v>101</v>
      </c>
      <c r="I208" s="40" t="s">
        <v>245</v>
      </c>
      <c r="J208" s="460">
        <v>14.27</v>
      </c>
      <c r="K208" s="371">
        <f t="shared" si="19"/>
        <v>0</v>
      </c>
      <c r="L208" s="72" t="s">
        <v>101</v>
      </c>
      <c r="M208" s="72"/>
      <c r="N208" s="73">
        <f t="shared" si="20"/>
        <v>0</v>
      </c>
      <c r="O208" s="73">
        <f t="shared" si="21"/>
        <v>0</v>
      </c>
      <c r="P208" s="74">
        <f>IF(L208="nio",0,IF(L208&gt;0,VLOOKUP(H208,'3-Productie normen'!A:J,VLOOKUP(L208,'3-Productie normen'!$B$33:$C$38,2,FALSE),FALSE)))/VLOOKUP(B208,'2-Kosten per locatie'!$A$12:$C$23,3,FALSE)</f>
        <v>0</v>
      </c>
      <c r="Q208" s="74">
        <f t="shared" si="22"/>
        <v>0</v>
      </c>
      <c r="R208" s="75">
        <f>VLOOKUP(H208,'3-Productie normen'!A:L,12,FALSE)</f>
        <v>0</v>
      </c>
      <c r="S208" s="75"/>
      <c r="U208" s="41">
        <f t="shared" si="23"/>
        <v>0</v>
      </c>
    </row>
    <row r="209" spans="1:21" ht="14.1" customHeight="1">
      <c r="A209" s="54">
        <f t="shared" si="18"/>
        <v>209</v>
      </c>
      <c r="B209" s="70" t="s">
        <v>409</v>
      </c>
      <c r="C209" s="70"/>
      <c r="D209" s="416" t="s">
        <v>410</v>
      </c>
      <c r="E209" s="416" t="s">
        <v>89</v>
      </c>
      <c r="F209" s="71">
        <v>30</v>
      </c>
      <c r="G209" s="40" t="s">
        <v>1</v>
      </c>
      <c r="H209" s="40" t="s">
        <v>1</v>
      </c>
      <c r="I209" s="40" t="s">
        <v>245</v>
      </c>
      <c r="J209" s="460">
        <v>17.18</v>
      </c>
      <c r="K209" s="371">
        <f t="shared" si="19"/>
        <v>200</v>
      </c>
      <c r="L209" s="72">
        <v>200</v>
      </c>
      <c r="M209" s="72"/>
      <c r="N209" s="73" t="e">
        <f t="shared" si="20"/>
        <v>#DIV/0!</v>
      </c>
      <c r="O209" s="73">
        <f t="shared" si="21"/>
        <v>0</v>
      </c>
      <c r="P209" s="74">
        <f>IF(L209="nio",0,IF(L209&gt;0,VLOOKUP(H209,'3-Productie normen'!A:J,VLOOKUP(L209,'3-Productie normen'!$B$33:$C$38,2,FALSE),FALSE)))/VLOOKUP(B209,'2-Kosten per locatie'!$A$12:$C$23,3,FALSE)</f>
        <v>0</v>
      </c>
      <c r="Q209" s="74">
        <f t="shared" si="22"/>
        <v>0</v>
      </c>
      <c r="R209" s="75" t="str">
        <f>VLOOKUP(H209,'3-Productie normen'!A:L,12,FALSE)</f>
        <v>V</v>
      </c>
      <c r="S209" s="75"/>
      <c r="U209" s="41">
        <f t="shared" si="23"/>
        <v>3436</v>
      </c>
    </row>
    <row r="210" spans="1:21" ht="14.1" customHeight="1">
      <c r="A210" s="54">
        <f t="shared" si="18"/>
        <v>210</v>
      </c>
      <c r="B210" s="70" t="s">
        <v>409</v>
      </c>
      <c r="C210" s="70"/>
      <c r="D210" s="416" t="s">
        <v>410</v>
      </c>
      <c r="E210" s="416" t="s">
        <v>89</v>
      </c>
      <c r="F210" s="71">
        <v>31</v>
      </c>
      <c r="G210" s="40" t="s">
        <v>17</v>
      </c>
      <c r="H210" s="40" t="s">
        <v>17</v>
      </c>
      <c r="I210" s="40" t="s">
        <v>245</v>
      </c>
      <c r="J210" s="460">
        <v>0.84</v>
      </c>
      <c r="K210" s="371">
        <f t="shared" si="19"/>
        <v>200</v>
      </c>
      <c r="L210" s="72">
        <v>200</v>
      </c>
      <c r="M210" s="72"/>
      <c r="N210" s="73" t="e">
        <f t="shared" si="20"/>
        <v>#DIV/0!</v>
      </c>
      <c r="O210" s="73">
        <f t="shared" si="21"/>
        <v>0</v>
      </c>
      <c r="P210" s="74">
        <f>IF(L210="nio",0,IF(L210&gt;0,VLOOKUP(H210,'3-Productie normen'!A:J,VLOOKUP(L210,'3-Productie normen'!$B$33:$C$38,2,FALSE),FALSE)))/VLOOKUP(B210,'2-Kosten per locatie'!$A$12:$C$23,3,FALSE)</f>
        <v>0</v>
      </c>
      <c r="Q210" s="74">
        <f t="shared" si="22"/>
        <v>0</v>
      </c>
      <c r="R210" s="75" t="str">
        <f>VLOOKUP(H210,'3-Productie normen'!A:L,12,FALSE)</f>
        <v>S</v>
      </c>
      <c r="S210" s="75"/>
      <c r="U210" s="41">
        <f t="shared" si="23"/>
        <v>168</v>
      </c>
    </row>
    <row r="211" spans="1:21" ht="14.1" customHeight="1">
      <c r="A211" s="54">
        <f t="shared" si="18"/>
        <v>211</v>
      </c>
      <c r="B211" s="70" t="s">
        <v>409</v>
      </c>
      <c r="C211" s="70"/>
      <c r="D211" s="416" t="s">
        <v>410</v>
      </c>
      <c r="E211" s="416" t="s">
        <v>89</v>
      </c>
      <c r="F211" s="71">
        <v>32</v>
      </c>
      <c r="G211" s="70" t="s">
        <v>252</v>
      </c>
      <c r="H211" s="70" t="s">
        <v>101</v>
      </c>
      <c r="I211" s="40" t="s">
        <v>234</v>
      </c>
      <c r="J211" s="460">
        <v>10.1</v>
      </c>
      <c r="K211" s="371">
        <f t="shared" si="19"/>
        <v>0</v>
      </c>
      <c r="L211" s="72" t="s">
        <v>101</v>
      </c>
      <c r="M211" s="72"/>
      <c r="N211" s="73">
        <f t="shared" si="20"/>
        <v>0</v>
      </c>
      <c r="O211" s="73">
        <f t="shared" si="21"/>
        <v>0</v>
      </c>
      <c r="P211" s="74">
        <f>IF(L211="nio",0,IF(L211&gt;0,VLOOKUP(H211,'3-Productie normen'!A:J,VLOOKUP(L211,'3-Productie normen'!$B$33:$C$38,2,FALSE),FALSE)))/VLOOKUP(B211,'2-Kosten per locatie'!$A$12:$C$23,3,FALSE)</f>
        <v>0</v>
      </c>
      <c r="Q211" s="74">
        <f t="shared" si="22"/>
        <v>0</v>
      </c>
      <c r="R211" s="75">
        <f>VLOOKUP(H211,'3-Productie normen'!A:L,12,FALSE)</f>
        <v>0</v>
      </c>
      <c r="S211" s="75"/>
      <c r="U211" s="41">
        <f t="shared" si="23"/>
        <v>0</v>
      </c>
    </row>
    <row r="212" spans="1:21" ht="14.1" customHeight="1">
      <c r="A212" s="54">
        <f t="shared" si="18"/>
        <v>212</v>
      </c>
      <c r="B212" s="70" t="s">
        <v>409</v>
      </c>
      <c r="C212" s="70"/>
      <c r="D212" s="416" t="s">
        <v>410</v>
      </c>
      <c r="E212" s="416">
        <v>1</v>
      </c>
      <c r="F212" s="71">
        <v>33</v>
      </c>
      <c r="G212" s="70" t="s">
        <v>248</v>
      </c>
      <c r="H212" s="70" t="s">
        <v>232</v>
      </c>
      <c r="I212" s="40" t="s">
        <v>404</v>
      </c>
      <c r="J212" s="460">
        <v>11.12</v>
      </c>
      <c r="K212" s="371">
        <f t="shared" si="19"/>
        <v>200</v>
      </c>
      <c r="L212" s="72">
        <v>200</v>
      </c>
      <c r="M212" s="72"/>
      <c r="N212" s="73" t="e">
        <f t="shared" si="20"/>
        <v>#DIV/0!</v>
      </c>
      <c r="O212" s="73">
        <f t="shared" si="21"/>
        <v>0</v>
      </c>
      <c r="P212" s="74">
        <f>IF(L212="nio",0,IF(L212&gt;0,VLOOKUP(H212,'3-Productie normen'!A:J,VLOOKUP(L212,'3-Productie normen'!$B$33:$C$38,2,FALSE),FALSE)))/VLOOKUP(B212,'2-Kosten per locatie'!$A$12:$C$23,3,FALSE)</f>
        <v>0</v>
      </c>
      <c r="Q212" s="74">
        <f t="shared" si="22"/>
        <v>0</v>
      </c>
      <c r="R212" s="75" t="str">
        <f>VLOOKUP(H212,'3-Productie normen'!A:L,12,FALSE)</f>
        <v>V</v>
      </c>
      <c r="S212" s="75"/>
      <c r="U212" s="41">
        <f t="shared" si="23"/>
        <v>2224</v>
      </c>
    </row>
    <row r="213" spans="1:21" ht="14.1" customHeight="1">
      <c r="A213" s="54">
        <f t="shared" si="18"/>
        <v>213</v>
      </c>
      <c r="B213" s="70" t="s">
        <v>409</v>
      </c>
      <c r="C213" s="70"/>
      <c r="D213" s="416" t="s">
        <v>410</v>
      </c>
      <c r="E213" s="416">
        <v>1</v>
      </c>
      <c r="F213" s="71">
        <v>34</v>
      </c>
      <c r="G213" s="70" t="s">
        <v>248</v>
      </c>
      <c r="H213" s="70" t="s">
        <v>232</v>
      </c>
      <c r="I213" s="40" t="s">
        <v>404</v>
      </c>
      <c r="J213" s="460">
        <v>82.13</v>
      </c>
      <c r="K213" s="371">
        <f t="shared" si="19"/>
        <v>200</v>
      </c>
      <c r="L213" s="72">
        <v>200</v>
      </c>
      <c r="M213" s="72"/>
      <c r="N213" s="73" t="e">
        <f t="shared" si="20"/>
        <v>#DIV/0!</v>
      </c>
      <c r="O213" s="73">
        <f t="shared" si="21"/>
        <v>0</v>
      </c>
      <c r="P213" s="74">
        <f>IF(L213="nio",0,IF(L213&gt;0,VLOOKUP(H213,'3-Productie normen'!A:J,VLOOKUP(L213,'3-Productie normen'!$B$33:$C$38,2,FALSE),FALSE)))/VLOOKUP(B213,'2-Kosten per locatie'!$A$12:$C$23,3,FALSE)</f>
        <v>0</v>
      </c>
      <c r="Q213" s="74">
        <f t="shared" si="22"/>
        <v>0</v>
      </c>
      <c r="R213" s="75" t="str">
        <f>VLOOKUP(H213,'3-Productie normen'!A:L,12,FALSE)</f>
        <v>V</v>
      </c>
      <c r="S213" s="75"/>
      <c r="U213" s="41">
        <f t="shared" si="23"/>
        <v>16426</v>
      </c>
    </row>
    <row r="214" spans="1:21" ht="14.1" customHeight="1">
      <c r="A214" s="54">
        <f t="shared" si="18"/>
        <v>214</v>
      </c>
      <c r="B214" s="70" t="s">
        <v>409</v>
      </c>
      <c r="C214" s="70"/>
      <c r="D214" s="416" t="s">
        <v>410</v>
      </c>
      <c r="E214" s="416">
        <v>1</v>
      </c>
      <c r="F214" s="71">
        <v>35</v>
      </c>
      <c r="G214" s="40" t="s">
        <v>252</v>
      </c>
      <c r="H214" s="40" t="s">
        <v>101</v>
      </c>
      <c r="I214" s="40" t="s">
        <v>404</v>
      </c>
      <c r="J214" s="460">
        <v>5.68</v>
      </c>
      <c r="K214" s="371">
        <f t="shared" si="19"/>
        <v>0</v>
      </c>
      <c r="L214" s="72" t="s">
        <v>101</v>
      </c>
      <c r="M214" s="72"/>
      <c r="N214" s="73">
        <f t="shared" si="20"/>
        <v>0</v>
      </c>
      <c r="O214" s="73">
        <f t="shared" si="21"/>
        <v>0</v>
      </c>
      <c r="P214" s="74">
        <f>IF(L214="nio",0,IF(L214&gt;0,VLOOKUP(H214,'3-Productie normen'!A:J,VLOOKUP(L214,'3-Productie normen'!$B$33:$C$38,2,FALSE),FALSE)))/VLOOKUP(B214,'2-Kosten per locatie'!$A$12:$C$23,3,FALSE)</f>
        <v>0</v>
      </c>
      <c r="Q214" s="74">
        <f t="shared" si="22"/>
        <v>0</v>
      </c>
      <c r="R214" s="75">
        <f>VLOOKUP(H214,'3-Productie normen'!A:L,12,FALSE)</f>
        <v>0</v>
      </c>
      <c r="S214" s="75"/>
      <c r="U214" s="41">
        <f t="shared" si="23"/>
        <v>0</v>
      </c>
    </row>
    <row r="215" spans="1:21" ht="14.1" customHeight="1">
      <c r="A215" s="54">
        <f t="shared" si="18"/>
        <v>215</v>
      </c>
      <c r="B215" s="70" t="s">
        <v>409</v>
      </c>
      <c r="C215" s="70"/>
      <c r="D215" s="416" t="s">
        <v>410</v>
      </c>
      <c r="E215" s="416">
        <v>1</v>
      </c>
      <c r="F215" s="71">
        <v>36</v>
      </c>
      <c r="G215" s="40" t="s">
        <v>252</v>
      </c>
      <c r="H215" s="40" t="s">
        <v>101</v>
      </c>
      <c r="I215" s="40" t="s">
        <v>404</v>
      </c>
      <c r="J215" s="460">
        <v>0.92</v>
      </c>
      <c r="K215" s="371">
        <f t="shared" si="19"/>
        <v>0</v>
      </c>
      <c r="L215" s="72" t="s">
        <v>101</v>
      </c>
      <c r="M215" s="72"/>
      <c r="N215" s="73">
        <f t="shared" si="20"/>
        <v>0</v>
      </c>
      <c r="O215" s="73">
        <f t="shared" si="21"/>
        <v>0</v>
      </c>
      <c r="P215" s="74">
        <f>IF(L215="nio",0,IF(L215&gt;0,VLOOKUP(H215,'3-Productie normen'!A:J,VLOOKUP(L215,'3-Productie normen'!$B$33:$C$38,2,FALSE),FALSE)))/VLOOKUP(B215,'2-Kosten per locatie'!$A$12:$C$23,3,FALSE)</f>
        <v>0</v>
      </c>
      <c r="Q215" s="74">
        <f t="shared" si="22"/>
        <v>0</v>
      </c>
      <c r="R215" s="75">
        <f>VLOOKUP(H215,'3-Productie normen'!A:L,12,FALSE)</f>
        <v>0</v>
      </c>
      <c r="S215" s="75"/>
      <c r="U215" s="41">
        <f t="shared" si="23"/>
        <v>0</v>
      </c>
    </row>
    <row r="216" spans="1:21" ht="14.1" customHeight="1">
      <c r="A216" s="54">
        <f t="shared" si="18"/>
        <v>216</v>
      </c>
      <c r="B216" s="70" t="s">
        <v>409</v>
      </c>
      <c r="C216" s="70"/>
      <c r="D216" s="416" t="s">
        <v>410</v>
      </c>
      <c r="E216" s="416">
        <v>1</v>
      </c>
      <c r="F216" s="71">
        <v>37</v>
      </c>
      <c r="G216" s="40" t="s">
        <v>233</v>
      </c>
      <c r="H216" s="40" t="s">
        <v>233</v>
      </c>
      <c r="I216" s="40" t="s">
        <v>225</v>
      </c>
      <c r="J216" s="460">
        <v>42.19</v>
      </c>
      <c r="K216" s="371">
        <f t="shared" si="19"/>
        <v>200</v>
      </c>
      <c r="L216" s="72">
        <v>200</v>
      </c>
      <c r="M216" s="72"/>
      <c r="N216" s="73" t="e">
        <f t="shared" si="20"/>
        <v>#DIV/0!</v>
      </c>
      <c r="O216" s="73">
        <f t="shared" si="21"/>
        <v>0</v>
      </c>
      <c r="P216" s="74">
        <f>IF(L216="nio",0,IF(L216&gt;0,VLOOKUP(H216,'3-Productie normen'!A:J,VLOOKUP(L216,'3-Productie normen'!$B$33:$C$38,2,FALSE),FALSE)))/VLOOKUP(B216,'2-Kosten per locatie'!$A$12:$C$23,3,FALSE)</f>
        <v>0</v>
      </c>
      <c r="Q216" s="74">
        <f t="shared" si="22"/>
        <v>0</v>
      </c>
      <c r="R216" s="75" t="str">
        <f>VLOOKUP(H216,'3-Productie normen'!A:L,12,FALSE)</f>
        <v>L</v>
      </c>
      <c r="S216" s="75"/>
      <c r="U216" s="41">
        <f t="shared" si="23"/>
        <v>8438</v>
      </c>
    </row>
    <row r="217" spans="1:21" ht="14.1" customHeight="1">
      <c r="A217" s="54">
        <f t="shared" si="18"/>
        <v>217</v>
      </c>
      <c r="B217" s="70" t="s">
        <v>409</v>
      </c>
      <c r="C217" s="70"/>
      <c r="D217" s="416" t="s">
        <v>410</v>
      </c>
      <c r="E217" s="416">
        <v>1</v>
      </c>
      <c r="F217" s="71">
        <v>38</v>
      </c>
      <c r="G217" s="40" t="s">
        <v>17</v>
      </c>
      <c r="H217" s="40" t="s">
        <v>17</v>
      </c>
      <c r="I217" s="40" t="s">
        <v>404</v>
      </c>
      <c r="J217" s="460">
        <v>0.88</v>
      </c>
      <c r="K217" s="371">
        <f t="shared" si="19"/>
        <v>200</v>
      </c>
      <c r="L217" s="72">
        <v>200</v>
      </c>
      <c r="M217" s="72"/>
      <c r="N217" s="73" t="e">
        <f t="shared" si="20"/>
        <v>#DIV/0!</v>
      </c>
      <c r="O217" s="73">
        <f t="shared" si="21"/>
        <v>0</v>
      </c>
      <c r="P217" s="74">
        <f>IF(L217="nio",0,IF(L217&gt;0,VLOOKUP(H217,'3-Productie normen'!A:J,VLOOKUP(L217,'3-Productie normen'!$B$33:$C$38,2,FALSE),FALSE)))/VLOOKUP(B217,'2-Kosten per locatie'!$A$12:$C$23,3,FALSE)</f>
        <v>0</v>
      </c>
      <c r="Q217" s="74">
        <f t="shared" si="22"/>
        <v>0</v>
      </c>
      <c r="R217" s="75" t="str">
        <f>VLOOKUP(H217,'3-Productie normen'!A:L,12,FALSE)</f>
        <v>S</v>
      </c>
      <c r="S217" s="75"/>
      <c r="U217" s="41">
        <f t="shared" si="23"/>
        <v>176</v>
      </c>
    </row>
    <row r="218" spans="1:21" ht="14.1" customHeight="1">
      <c r="A218" s="54">
        <f t="shared" si="18"/>
        <v>218</v>
      </c>
      <c r="B218" s="70" t="s">
        <v>409</v>
      </c>
      <c r="C218" s="70"/>
      <c r="D218" s="416" t="s">
        <v>410</v>
      </c>
      <c r="E218" s="416">
        <v>1</v>
      </c>
      <c r="F218" s="71">
        <v>39</v>
      </c>
      <c r="G218" s="77" t="s">
        <v>17</v>
      </c>
      <c r="H218" s="77" t="s">
        <v>17</v>
      </c>
      <c r="I218" s="40" t="s">
        <v>404</v>
      </c>
      <c r="J218" s="460">
        <v>0.86</v>
      </c>
      <c r="K218" s="371">
        <f t="shared" si="19"/>
        <v>200</v>
      </c>
      <c r="L218" s="72">
        <v>200</v>
      </c>
      <c r="M218" s="72"/>
      <c r="N218" s="73" t="e">
        <f t="shared" si="20"/>
        <v>#DIV/0!</v>
      </c>
      <c r="O218" s="73">
        <f t="shared" si="21"/>
        <v>0</v>
      </c>
      <c r="P218" s="74">
        <f>IF(L218="nio",0,IF(L218&gt;0,VLOOKUP(H218,'3-Productie normen'!A:J,VLOOKUP(L218,'3-Productie normen'!$B$33:$C$38,2,FALSE),FALSE)))/VLOOKUP(B218,'2-Kosten per locatie'!$A$12:$C$23,3,FALSE)</f>
        <v>0</v>
      </c>
      <c r="Q218" s="74">
        <f t="shared" si="22"/>
        <v>0</v>
      </c>
      <c r="R218" s="75" t="str">
        <f>VLOOKUP(H218,'3-Productie normen'!A:L,12,FALSE)</f>
        <v>S</v>
      </c>
      <c r="S218" s="75"/>
      <c r="U218" s="41">
        <f t="shared" si="23"/>
        <v>172</v>
      </c>
    </row>
    <row r="219" spans="1:21" ht="14.1" customHeight="1">
      <c r="A219" s="54">
        <f t="shared" si="18"/>
        <v>219</v>
      </c>
      <c r="B219" s="70" t="s">
        <v>409</v>
      </c>
      <c r="C219" s="70"/>
      <c r="D219" s="416" t="s">
        <v>410</v>
      </c>
      <c r="E219" s="416">
        <v>1</v>
      </c>
      <c r="F219" s="71">
        <v>40</v>
      </c>
      <c r="G219" s="40" t="s">
        <v>233</v>
      </c>
      <c r="H219" s="40" t="s">
        <v>233</v>
      </c>
      <c r="I219" s="78" t="s">
        <v>225</v>
      </c>
      <c r="J219" s="460">
        <v>39.19</v>
      </c>
      <c r="K219" s="371">
        <f t="shared" si="19"/>
        <v>200</v>
      </c>
      <c r="L219" s="72">
        <v>200</v>
      </c>
      <c r="M219" s="72"/>
      <c r="N219" s="73" t="e">
        <f t="shared" si="20"/>
        <v>#DIV/0!</v>
      </c>
      <c r="O219" s="73">
        <f t="shared" si="21"/>
        <v>0</v>
      </c>
      <c r="P219" s="74">
        <f>IF(L219="nio",0,IF(L219&gt;0,VLOOKUP(H219,'3-Productie normen'!A:J,VLOOKUP(L219,'3-Productie normen'!$B$33:$C$38,2,FALSE),FALSE)))/VLOOKUP(B219,'2-Kosten per locatie'!$A$12:$C$23,3,FALSE)</f>
        <v>0</v>
      </c>
      <c r="Q219" s="74">
        <f t="shared" si="22"/>
        <v>0</v>
      </c>
      <c r="R219" s="75" t="str">
        <f>VLOOKUP(H219,'3-Productie normen'!A:L,12,FALSE)</f>
        <v>L</v>
      </c>
      <c r="S219" s="75"/>
      <c r="U219" s="41">
        <f t="shared" si="23"/>
        <v>7838</v>
      </c>
    </row>
    <row r="220" spans="1:21" ht="14.1" customHeight="1">
      <c r="A220" s="54">
        <f t="shared" si="18"/>
        <v>220</v>
      </c>
      <c r="B220" s="70" t="s">
        <v>409</v>
      </c>
      <c r="C220" s="70"/>
      <c r="D220" s="417" t="s">
        <v>410</v>
      </c>
      <c r="E220" s="417">
        <v>1</v>
      </c>
      <c r="F220" s="79">
        <v>41</v>
      </c>
      <c r="G220" s="80" t="s">
        <v>17</v>
      </c>
      <c r="H220" s="80" t="s">
        <v>17</v>
      </c>
      <c r="I220" s="40" t="s">
        <v>404</v>
      </c>
      <c r="J220" s="460">
        <v>0.86</v>
      </c>
      <c r="K220" s="371">
        <f t="shared" si="19"/>
        <v>200</v>
      </c>
      <c r="L220" s="72">
        <v>200</v>
      </c>
      <c r="M220" s="72"/>
      <c r="N220" s="73" t="e">
        <f t="shared" si="20"/>
        <v>#DIV/0!</v>
      </c>
      <c r="O220" s="73">
        <f t="shared" si="21"/>
        <v>0</v>
      </c>
      <c r="P220" s="74">
        <f>IF(L220="nio",0,IF(L220&gt;0,VLOOKUP(H220,'3-Productie normen'!A:J,VLOOKUP(L220,'3-Productie normen'!$B$33:$C$38,2,FALSE),FALSE)))/VLOOKUP(B220,'2-Kosten per locatie'!$A$12:$C$23,3,FALSE)</f>
        <v>0</v>
      </c>
      <c r="Q220" s="74">
        <f t="shared" si="22"/>
        <v>0</v>
      </c>
      <c r="R220" s="75" t="str">
        <f>VLOOKUP(H220,'3-Productie normen'!A:L,12,FALSE)</f>
        <v>S</v>
      </c>
      <c r="S220" s="75"/>
      <c r="U220" s="41">
        <f t="shared" si="23"/>
        <v>172</v>
      </c>
    </row>
    <row r="221" spans="1:21" ht="14.1" customHeight="1">
      <c r="A221" s="54">
        <f t="shared" si="18"/>
        <v>221</v>
      </c>
      <c r="B221" s="70" t="s">
        <v>409</v>
      </c>
      <c r="C221" s="70"/>
      <c r="D221" s="416" t="s">
        <v>410</v>
      </c>
      <c r="E221" s="416">
        <v>1</v>
      </c>
      <c r="F221" s="71">
        <v>42</v>
      </c>
      <c r="G221" s="40" t="s">
        <v>17</v>
      </c>
      <c r="H221" s="40" t="s">
        <v>17</v>
      </c>
      <c r="I221" s="40" t="s">
        <v>404</v>
      </c>
      <c r="J221" s="460">
        <v>0.86</v>
      </c>
      <c r="K221" s="371">
        <f t="shared" si="19"/>
        <v>200</v>
      </c>
      <c r="L221" s="72">
        <v>200</v>
      </c>
      <c r="M221" s="72"/>
      <c r="N221" s="73" t="e">
        <f t="shared" si="20"/>
        <v>#DIV/0!</v>
      </c>
      <c r="O221" s="73">
        <f t="shared" si="21"/>
        <v>0</v>
      </c>
      <c r="P221" s="74">
        <f>IF(L221="nio",0,IF(L221&gt;0,VLOOKUP(H221,'3-Productie normen'!A:J,VLOOKUP(L221,'3-Productie normen'!$B$33:$C$38,2,FALSE),FALSE)))/VLOOKUP(B221,'2-Kosten per locatie'!$A$12:$C$23,3,FALSE)</f>
        <v>0</v>
      </c>
      <c r="Q221" s="74">
        <f t="shared" si="22"/>
        <v>0</v>
      </c>
      <c r="R221" s="75" t="str">
        <f>VLOOKUP(H221,'3-Productie normen'!A:L,12,FALSE)</f>
        <v>S</v>
      </c>
      <c r="S221" s="75"/>
      <c r="U221" s="41">
        <f t="shared" si="23"/>
        <v>172</v>
      </c>
    </row>
    <row r="222" spans="1:21" ht="14.1" customHeight="1">
      <c r="A222" s="54">
        <f t="shared" si="18"/>
        <v>222</v>
      </c>
      <c r="B222" s="70" t="s">
        <v>409</v>
      </c>
      <c r="C222" s="70"/>
      <c r="D222" s="416" t="s">
        <v>410</v>
      </c>
      <c r="E222" s="416">
        <v>1</v>
      </c>
      <c r="F222" s="71">
        <v>43</v>
      </c>
      <c r="G222" s="40" t="s">
        <v>233</v>
      </c>
      <c r="H222" s="40" t="s">
        <v>233</v>
      </c>
      <c r="I222" s="40" t="s">
        <v>225</v>
      </c>
      <c r="J222" s="460">
        <v>39.520000000000003</v>
      </c>
      <c r="K222" s="371">
        <f t="shared" si="19"/>
        <v>200</v>
      </c>
      <c r="L222" s="72">
        <v>200</v>
      </c>
      <c r="M222" s="72"/>
      <c r="N222" s="73" t="e">
        <f t="shared" si="20"/>
        <v>#DIV/0!</v>
      </c>
      <c r="O222" s="73">
        <f t="shared" si="21"/>
        <v>0</v>
      </c>
      <c r="P222" s="74">
        <f>IF(L222="nio",0,IF(L222&gt;0,VLOOKUP(H222,'3-Productie normen'!A:J,VLOOKUP(L222,'3-Productie normen'!$B$33:$C$38,2,FALSE),FALSE)))/VLOOKUP(B222,'2-Kosten per locatie'!$A$12:$C$23,3,FALSE)</f>
        <v>0</v>
      </c>
      <c r="Q222" s="74">
        <f t="shared" si="22"/>
        <v>0</v>
      </c>
      <c r="R222" s="75" t="str">
        <f>VLOOKUP(H222,'3-Productie normen'!A:L,12,FALSE)</f>
        <v>L</v>
      </c>
      <c r="S222" s="75"/>
      <c r="U222" s="41">
        <f t="shared" si="23"/>
        <v>7904.0000000000009</v>
      </c>
    </row>
    <row r="223" spans="1:21" ht="14.1" customHeight="1">
      <c r="A223" s="54">
        <f t="shared" si="18"/>
        <v>223</v>
      </c>
      <c r="B223" s="70" t="s">
        <v>409</v>
      </c>
      <c r="C223" s="70"/>
      <c r="D223" s="416" t="s">
        <v>410</v>
      </c>
      <c r="E223" s="416">
        <v>1</v>
      </c>
      <c r="F223" s="71">
        <v>44</v>
      </c>
      <c r="G223" s="40" t="s">
        <v>17</v>
      </c>
      <c r="H223" s="40" t="s">
        <v>17</v>
      </c>
      <c r="I223" s="40" t="s">
        <v>404</v>
      </c>
      <c r="J223" s="460">
        <v>0.88</v>
      </c>
      <c r="K223" s="371">
        <f t="shared" si="19"/>
        <v>200</v>
      </c>
      <c r="L223" s="72">
        <v>200</v>
      </c>
      <c r="M223" s="72"/>
      <c r="N223" s="73" t="e">
        <f t="shared" si="20"/>
        <v>#DIV/0!</v>
      </c>
      <c r="O223" s="73">
        <f t="shared" si="21"/>
        <v>0</v>
      </c>
      <c r="P223" s="74">
        <f>IF(L223="nio",0,IF(L223&gt;0,VLOOKUP(H223,'3-Productie normen'!A:J,VLOOKUP(L223,'3-Productie normen'!$B$33:$C$38,2,FALSE),FALSE)))/VLOOKUP(B223,'2-Kosten per locatie'!$A$12:$C$23,3,FALSE)</f>
        <v>0</v>
      </c>
      <c r="Q223" s="74">
        <f t="shared" si="22"/>
        <v>0</v>
      </c>
      <c r="R223" s="75" t="str">
        <f>VLOOKUP(H223,'3-Productie normen'!A:L,12,FALSE)</f>
        <v>S</v>
      </c>
      <c r="S223" s="75"/>
      <c r="U223" s="41">
        <f t="shared" si="23"/>
        <v>176</v>
      </c>
    </row>
    <row r="224" spans="1:21" ht="14.1" customHeight="1">
      <c r="A224" s="54">
        <f t="shared" si="18"/>
        <v>224</v>
      </c>
      <c r="B224" s="70" t="s">
        <v>409</v>
      </c>
      <c r="C224" s="70"/>
      <c r="D224" s="416" t="s">
        <v>410</v>
      </c>
      <c r="E224" s="416">
        <v>1</v>
      </c>
      <c r="F224" s="71">
        <v>45</v>
      </c>
      <c r="G224" s="40" t="s">
        <v>17</v>
      </c>
      <c r="H224" s="40" t="s">
        <v>17</v>
      </c>
      <c r="I224" s="40" t="s">
        <v>404</v>
      </c>
      <c r="J224" s="460">
        <v>0.88</v>
      </c>
      <c r="K224" s="371">
        <f t="shared" si="19"/>
        <v>200</v>
      </c>
      <c r="L224" s="72">
        <v>200</v>
      </c>
      <c r="M224" s="72"/>
      <c r="N224" s="73" t="e">
        <f t="shared" si="20"/>
        <v>#DIV/0!</v>
      </c>
      <c r="O224" s="73">
        <f t="shared" si="21"/>
        <v>0</v>
      </c>
      <c r="P224" s="74">
        <f>IF(L224="nio",0,IF(L224&gt;0,VLOOKUP(H224,'3-Productie normen'!A:J,VLOOKUP(L224,'3-Productie normen'!$B$33:$C$38,2,FALSE),FALSE)))/VLOOKUP(B224,'2-Kosten per locatie'!$A$12:$C$23,3,FALSE)</f>
        <v>0</v>
      </c>
      <c r="Q224" s="74">
        <f t="shared" si="22"/>
        <v>0</v>
      </c>
      <c r="R224" s="75" t="str">
        <f>VLOOKUP(H224,'3-Productie normen'!A:L,12,FALSE)</f>
        <v>S</v>
      </c>
      <c r="S224" s="75"/>
      <c r="U224" s="41">
        <f t="shared" si="23"/>
        <v>176</v>
      </c>
    </row>
    <row r="225" spans="1:21" ht="14.1" customHeight="1">
      <c r="A225" s="54">
        <f t="shared" si="18"/>
        <v>225</v>
      </c>
      <c r="B225" s="70" t="s">
        <v>409</v>
      </c>
      <c r="C225" s="70"/>
      <c r="D225" s="416" t="s">
        <v>410</v>
      </c>
      <c r="E225" s="416">
        <v>1</v>
      </c>
      <c r="F225" s="71">
        <v>46</v>
      </c>
      <c r="G225" s="40" t="s">
        <v>233</v>
      </c>
      <c r="H225" s="40" t="s">
        <v>233</v>
      </c>
      <c r="I225" s="40" t="s">
        <v>225</v>
      </c>
      <c r="J225" s="460">
        <v>39.43</v>
      </c>
      <c r="K225" s="371">
        <f t="shared" si="19"/>
        <v>200</v>
      </c>
      <c r="L225" s="72">
        <v>200</v>
      </c>
      <c r="M225" s="72"/>
      <c r="N225" s="73" t="e">
        <f t="shared" si="20"/>
        <v>#DIV/0!</v>
      </c>
      <c r="O225" s="73">
        <f t="shared" si="21"/>
        <v>0</v>
      </c>
      <c r="P225" s="74">
        <f>IF(L225="nio",0,IF(L225&gt;0,VLOOKUP(H225,'3-Productie normen'!A:J,VLOOKUP(L225,'3-Productie normen'!$B$33:$C$38,2,FALSE),FALSE)))/VLOOKUP(B225,'2-Kosten per locatie'!$A$12:$C$23,3,FALSE)</f>
        <v>0</v>
      </c>
      <c r="Q225" s="74">
        <f t="shared" si="22"/>
        <v>0</v>
      </c>
      <c r="R225" s="75" t="str">
        <f>VLOOKUP(H225,'3-Productie normen'!A:L,12,FALSE)</f>
        <v>L</v>
      </c>
      <c r="S225" s="75"/>
      <c r="U225" s="41">
        <f t="shared" si="23"/>
        <v>7886</v>
      </c>
    </row>
    <row r="226" spans="1:21" ht="14.1" customHeight="1">
      <c r="A226" s="54">
        <f t="shared" si="18"/>
        <v>226</v>
      </c>
      <c r="B226" s="70" t="s">
        <v>409</v>
      </c>
      <c r="C226" s="70"/>
      <c r="D226" s="416" t="s">
        <v>410</v>
      </c>
      <c r="E226" s="416">
        <v>1</v>
      </c>
      <c r="F226" s="71">
        <v>47</v>
      </c>
      <c r="G226" s="40" t="s">
        <v>252</v>
      </c>
      <c r="H226" s="40" t="s">
        <v>101</v>
      </c>
      <c r="I226" s="40" t="s">
        <v>404</v>
      </c>
      <c r="J226" s="460">
        <v>0.92</v>
      </c>
      <c r="K226" s="371">
        <f t="shared" si="19"/>
        <v>0</v>
      </c>
      <c r="L226" s="72" t="s">
        <v>101</v>
      </c>
      <c r="M226" s="72"/>
      <c r="N226" s="73">
        <f t="shared" si="20"/>
        <v>0</v>
      </c>
      <c r="O226" s="73">
        <f t="shared" si="21"/>
        <v>0</v>
      </c>
      <c r="P226" s="74">
        <f>IF(L226="nio",0,IF(L226&gt;0,VLOOKUP(H226,'3-Productie normen'!A:J,VLOOKUP(L226,'3-Productie normen'!$B$33:$C$38,2,FALSE),FALSE)))/VLOOKUP(B226,'2-Kosten per locatie'!$A$12:$C$23,3,FALSE)</f>
        <v>0</v>
      </c>
      <c r="Q226" s="74">
        <f t="shared" si="22"/>
        <v>0</v>
      </c>
      <c r="R226" s="75">
        <f>VLOOKUP(H226,'3-Productie normen'!A:L,12,FALSE)</f>
        <v>0</v>
      </c>
      <c r="S226" s="75"/>
      <c r="U226" s="41">
        <f t="shared" si="23"/>
        <v>0</v>
      </c>
    </row>
    <row r="227" spans="1:21" ht="14.1" customHeight="1">
      <c r="A227" s="54">
        <f t="shared" si="18"/>
        <v>227</v>
      </c>
      <c r="B227" s="70" t="s">
        <v>409</v>
      </c>
      <c r="C227" s="70"/>
      <c r="D227" s="416" t="s">
        <v>410</v>
      </c>
      <c r="E227" s="416">
        <v>1</v>
      </c>
      <c r="F227" s="71">
        <v>48</v>
      </c>
      <c r="G227" s="40" t="s">
        <v>248</v>
      </c>
      <c r="H227" s="40" t="s">
        <v>232</v>
      </c>
      <c r="I227" s="40" t="s">
        <v>404</v>
      </c>
      <c r="J227" s="460">
        <v>27.63</v>
      </c>
      <c r="K227" s="371">
        <f t="shared" si="19"/>
        <v>200</v>
      </c>
      <c r="L227" s="72">
        <v>200</v>
      </c>
      <c r="M227" s="72"/>
      <c r="N227" s="73" t="e">
        <f t="shared" si="20"/>
        <v>#DIV/0!</v>
      </c>
      <c r="O227" s="73">
        <f t="shared" si="21"/>
        <v>0</v>
      </c>
      <c r="P227" s="74">
        <f>IF(L227="nio",0,IF(L227&gt;0,VLOOKUP(H227,'3-Productie normen'!A:J,VLOOKUP(L227,'3-Productie normen'!$B$33:$C$38,2,FALSE),FALSE)))/VLOOKUP(B227,'2-Kosten per locatie'!$A$12:$C$23,3,FALSE)</f>
        <v>0</v>
      </c>
      <c r="Q227" s="74">
        <f t="shared" si="22"/>
        <v>0</v>
      </c>
      <c r="R227" s="75" t="str">
        <f>VLOOKUP(H227,'3-Productie normen'!A:L,12,FALSE)</f>
        <v>V</v>
      </c>
      <c r="S227" s="75"/>
      <c r="U227" s="41">
        <f t="shared" si="23"/>
        <v>5526</v>
      </c>
    </row>
    <row r="228" spans="1:21" ht="14.1" customHeight="1">
      <c r="A228" s="54">
        <f t="shared" si="18"/>
        <v>228</v>
      </c>
      <c r="B228" s="70" t="s">
        <v>409</v>
      </c>
      <c r="C228" s="70"/>
      <c r="D228" s="416" t="s">
        <v>410</v>
      </c>
      <c r="E228" s="416" t="s">
        <v>89</v>
      </c>
      <c r="F228" s="71">
        <v>49</v>
      </c>
      <c r="G228" s="40" t="s">
        <v>226</v>
      </c>
      <c r="H228" s="40" t="s">
        <v>226</v>
      </c>
      <c r="I228" s="40" t="s">
        <v>225</v>
      </c>
      <c r="J228" s="460">
        <v>11.48</v>
      </c>
      <c r="K228" s="371">
        <f t="shared" si="19"/>
        <v>200</v>
      </c>
      <c r="L228" s="72">
        <v>200</v>
      </c>
      <c r="M228" s="72"/>
      <c r="N228" s="73" t="e">
        <f t="shared" si="20"/>
        <v>#DIV/0!</v>
      </c>
      <c r="O228" s="73">
        <f t="shared" si="21"/>
        <v>0</v>
      </c>
      <c r="P228" s="74">
        <f>IF(L228="nio",0,IF(L228&gt;0,VLOOKUP(H228,'3-Productie normen'!A:J,VLOOKUP(L228,'3-Productie normen'!$B$33:$C$38,2,FALSE),FALSE)))/VLOOKUP(B228,'2-Kosten per locatie'!$A$12:$C$23,3,FALSE)</f>
        <v>0</v>
      </c>
      <c r="Q228" s="74">
        <f t="shared" si="22"/>
        <v>0</v>
      </c>
      <c r="R228" s="75" t="str">
        <f>VLOOKUP(H228,'3-Productie normen'!A:L,12,FALSE)</f>
        <v>V</v>
      </c>
      <c r="S228" s="75"/>
      <c r="U228" s="41">
        <f t="shared" si="23"/>
        <v>2296</v>
      </c>
    </row>
    <row r="229" spans="1:21" ht="14.1" customHeight="1">
      <c r="A229" s="54">
        <f t="shared" si="18"/>
        <v>229</v>
      </c>
      <c r="B229" s="70" t="s">
        <v>409</v>
      </c>
      <c r="C229" s="70"/>
      <c r="D229" s="416" t="s">
        <v>410</v>
      </c>
      <c r="E229" s="416">
        <v>1</v>
      </c>
      <c r="F229" s="71">
        <v>50</v>
      </c>
      <c r="G229" s="40" t="s">
        <v>248</v>
      </c>
      <c r="H229" s="40" t="s">
        <v>232</v>
      </c>
      <c r="I229" s="40" t="s">
        <v>225</v>
      </c>
      <c r="J229" s="460">
        <v>8.4</v>
      </c>
      <c r="K229" s="371">
        <f t="shared" si="19"/>
        <v>200</v>
      </c>
      <c r="L229" s="72">
        <v>200</v>
      </c>
      <c r="M229" s="72"/>
      <c r="N229" s="73" t="e">
        <f t="shared" si="20"/>
        <v>#DIV/0!</v>
      </c>
      <c r="O229" s="73">
        <f t="shared" si="21"/>
        <v>0</v>
      </c>
      <c r="P229" s="74">
        <f>IF(L229="nio",0,IF(L229&gt;0,VLOOKUP(H229,'3-Productie normen'!A:J,VLOOKUP(L229,'3-Productie normen'!$B$33:$C$38,2,FALSE),FALSE)))/VLOOKUP(B229,'2-Kosten per locatie'!$A$12:$C$23,3,FALSE)</f>
        <v>0</v>
      </c>
      <c r="Q229" s="74">
        <f t="shared" si="22"/>
        <v>0</v>
      </c>
      <c r="R229" s="75" t="str">
        <f>VLOOKUP(H229,'3-Productie normen'!A:L,12,FALSE)</f>
        <v>V</v>
      </c>
      <c r="S229" s="75"/>
      <c r="U229" s="41">
        <f t="shared" si="23"/>
        <v>1680</v>
      </c>
    </row>
    <row r="230" spans="1:21" ht="14.1" customHeight="1">
      <c r="A230" s="54">
        <f t="shared" si="18"/>
        <v>230</v>
      </c>
      <c r="B230" s="70" t="s">
        <v>409</v>
      </c>
      <c r="C230" s="70"/>
      <c r="D230" s="416" t="s">
        <v>410</v>
      </c>
      <c r="E230" s="416">
        <v>1</v>
      </c>
      <c r="F230" s="71">
        <v>51</v>
      </c>
      <c r="G230" s="40" t="s">
        <v>249</v>
      </c>
      <c r="H230" s="40" t="s">
        <v>231</v>
      </c>
      <c r="I230" s="40" t="s">
        <v>225</v>
      </c>
      <c r="J230" s="460">
        <v>39.57</v>
      </c>
      <c r="K230" s="371">
        <f t="shared" si="19"/>
        <v>200</v>
      </c>
      <c r="L230" s="72">
        <v>200</v>
      </c>
      <c r="M230" s="72"/>
      <c r="N230" s="73" t="e">
        <f t="shared" si="20"/>
        <v>#DIV/0!</v>
      </c>
      <c r="O230" s="73">
        <f t="shared" si="21"/>
        <v>0</v>
      </c>
      <c r="P230" s="74">
        <f>IF(L230="nio",0,IF(L230&gt;0,VLOOKUP(H230,'3-Productie normen'!A:J,VLOOKUP(L230,'3-Productie normen'!$B$33:$C$38,2,FALSE),FALSE)))/VLOOKUP(B230,'2-Kosten per locatie'!$A$12:$C$23,3,FALSE)</f>
        <v>0</v>
      </c>
      <c r="Q230" s="74">
        <f t="shared" si="22"/>
        <v>0</v>
      </c>
      <c r="R230" s="75" t="str">
        <f>VLOOKUP(H230,'3-Productie normen'!A:L,12,FALSE)</f>
        <v>L</v>
      </c>
      <c r="S230" s="75"/>
      <c r="U230" s="41">
        <f t="shared" si="23"/>
        <v>7914</v>
      </c>
    </row>
    <row r="231" spans="1:21" ht="14.1" customHeight="1">
      <c r="A231" s="54">
        <f t="shared" si="18"/>
        <v>231</v>
      </c>
      <c r="B231" s="70" t="s">
        <v>409</v>
      </c>
      <c r="C231" s="70"/>
      <c r="D231" s="416" t="s">
        <v>410</v>
      </c>
      <c r="E231" s="416">
        <v>1</v>
      </c>
      <c r="F231" s="71">
        <v>53</v>
      </c>
      <c r="G231" s="40" t="s">
        <v>176</v>
      </c>
      <c r="H231" s="40" t="s">
        <v>176</v>
      </c>
      <c r="I231" s="40" t="s">
        <v>225</v>
      </c>
      <c r="J231" s="460">
        <v>17.309999999999999</v>
      </c>
      <c r="K231" s="371">
        <f t="shared" si="19"/>
        <v>200</v>
      </c>
      <c r="L231" s="72">
        <v>200</v>
      </c>
      <c r="M231" s="72"/>
      <c r="N231" s="73" t="e">
        <f t="shared" si="20"/>
        <v>#DIV/0!</v>
      </c>
      <c r="O231" s="73">
        <f t="shared" si="21"/>
        <v>0</v>
      </c>
      <c r="P231" s="74">
        <f>IF(L231="nio",0,IF(L231&gt;0,VLOOKUP(H231,'3-Productie normen'!A:J,VLOOKUP(L231,'3-Productie normen'!$B$33:$C$38,2,FALSE),FALSE)))/VLOOKUP(B231,'2-Kosten per locatie'!$A$12:$C$23,3,FALSE)</f>
        <v>0</v>
      </c>
      <c r="Q231" s="74">
        <f t="shared" si="22"/>
        <v>0</v>
      </c>
      <c r="R231" s="75" t="str">
        <f>VLOOKUP(H231,'3-Productie normen'!A:L,12,FALSE)</f>
        <v>B</v>
      </c>
      <c r="S231" s="75"/>
      <c r="U231" s="41">
        <f t="shared" si="23"/>
        <v>3461.9999999999995</v>
      </c>
    </row>
    <row r="232" spans="1:21" ht="14.1" customHeight="1">
      <c r="A232" s="54">
        <f t="shared" si="18"/>
        <v>232</v>
      </c>
      <c r="B232" s="70" t="s">
        <v>409</v>
      </c>
      <c r="C232" s="70"/>
      <c r="D232" s="416" t="s">
        <v>410</v>
      </c>
      <c r="E232" s="416">
        <v>1</v>
      </c>
      <c r="F232" s="71">
        <v>54</v>
      </c>
      <c r="G232" s="70" t="s">
        <v>176</v>
      </c>
      <c r="H232" s="70" t="s">
        <v>176</v>
      </c>
      <c r="I232" s="40" t="s">
        <v>225</v>
      </c>
      <c r="J232" s="460">
        <v>9.59</v>
      </c>
      <c r="K232" s="371">
        <f t="shared" si="19"/>
        <v>200</v>
      </c>
      <c r="L232" s="72">
        <v>200</v>
      </c>
      <c r="M232" s="72"/>
      <c r="N232" s="73" t="e">
        <f t="shared" si="20"/>
        <v>#DIV/0!</v>
      </c>
      <c r="O232" s="73">
        <f t="shared" si="21"/>
        <v>0</v>
      </c>
      <c r="P232" s="74">
        <f>IF(L232="nio",0,IF(L232&gt;0,VLOOKUP(H232,'3-Productie normen'!A:J,VLOOKUP(L232,'3-Productie normen'!$B$33:$C$38,2,FALSE),FALSE)))/VLOOKUP(B232,'2-Kosten per locatie'!$A$12:$C$23,3,FALSE)</f>
        <v>0</v>
      </c>
      <c r="Q232" s="74">
        <f t="shared" si="22"/>
        <v>0</v>
      </c>
      <c r="R232" s="75" t="str">
        <f>VLOOKUP(H232,'3-Productie normen'!A:L,12,FALSE)</f>
        <v>B</v>
      </c>
      <c r="S232" s="75"/>
      <c r="U232" s="41">
        <f t="shared" si="23"/>
        <v>1918</v>
      </c>
    </row>
    <row r="233" spans="1:21" ht="14.1" customHeight="1">
      <c r="A233" s="54">
        <f t="shared" si="18"/>
        <v>233</v>
      </c>
      <c r="B233" s="70" t="s">
        <v>409</v>
      </c>
      <c r="C233" s="70"/>
      <c r="D233" s="416" t="s">
        <v>410</v>
      </c>
      <c r="E233" s="416" t="s">
        <v>89</v>
      </c>
      <c r="F233" s="71">
        <v>55</v>
      </c>
      <c r="G233" s="70" t="s">
        <v>226</v>
      </c>
      <c r="H233" s="70" t="s">
        <v>226</v>
      </c>
      <c r="I233" s="40" t="s">
        <v>225</v>
      </c>
      <c r="J233" s="460">
        <v>4.54</v>
      </c>
      <c r="K233" s="371">
        <f t="shared" si="19"/>
        <v>200</v>
      </c>
      <c r="L233" s="72">
        <v>200</v>
      </c>
      <c r="M233" s="72"/>
      <c r="N233" s="73" t="e">
        <f t="shared" si="20"/>
        <v>#DIV/0!</v>
      </c>
      <c r="O233" s="73">
        <f t="shared" si="21"/>
        <v>0</v>
      </c>
      <c r="P233" s="74">
        <f>IF(L233="nio",0,IF(L233&gt;0,VLOOKUP(H233,'3-Productie normen'!A:J,VLOOKUP(L233,'3-Productie normen'!$B$33:$C$38,2,FALSE),FALSE)))/VLOOKUP(B233,'2-Kosten per locatie'!$A$12:$C$23,3,FALSE)</f>
        <v>0</v>
      </c>
      <c r="Q233" s="74">
        <f t="shared" si="22"/>
        <v>0</v>
      </c>
      <c r="R233" s="75" t="str">
        <f>VLOOKUP(H233,'3-Productie normen'!A:L,12,FALSE)</f>
        <v>V</v>
      </c>
      <c r="S233" s="75"/>
      <c r="U233" s="41">
        <f t="shared" si="23"/>
        <v>908</v>
      </c>
    </row>
    <row r="234" spans="1:21" ht="14.1" customHeight="1">
      <c r="A234" s="54">
        <f t="shared" si="18"/>
        <v>234</v>
      </c>
      <c r="B234" s="70" t="s">
        <v>409</v>
      </c>
      <c r="C234" s="70"/>
      <c r="D234" s="416" t="s">
        <v>410</v>
      </c>
      <c r="E234" s="416" t="s">
        <v>89</v>
      </c>
      <c r="F234" s="71">
        <v>56</v>
      </c>
      <c r="G234" s="70" t="s">
        <v>252</v>
      </c>
      <c r="H234" s="70" t="s">
        <v>101</v>
      </c>
      <c r="I234" s="40" t="s">
        <v>228</v>
      </c>
      <c r="J234" s="460">
        <v>5.73</v>
      </c>
      <c r="K234" s="371">
        <f t="shared" si="19"/>
        <v>0</v>
      </c>
      <c r="L234" s="72" t="s">
        <v>101</v>
      </c>
      <c r="M234" s="72"/>
      <c r="N234" s="73">
        <f t="shared" si="20"/>
        <v>0</v>
      </c>
      <c r="O234" s="73">
        <f t="shared" si="21"/>
        <v>0</v>
      </c>
      <c r="P234" s="74">
        <f>IF(L234="nio",0,IF(L234&gt;0,VLOOKUP(H234,'3-Productie normen'!A:J,VLOOKUP(L234,'3-Productie normen'!$B$33:$C$38,2,FALSE),FALSE)))/VLOOKUP(B234,'2-Kosten per locatie'!$A$12:$C$23,3,FALSE)</f>
        <v>0</v>
      </c>
      <c r="Q234" s="74">
        <f t="shared" si="22"/>
        <v>0</v>
      </c>
      <c r="R234" s="75">
        <f>VLOOKUP(H234,'3-Productie normen'!A:L,12,FALSE)</f>
        <v>0</v>
      </c>
      <c r="S234" s="75"/>
      <c r="U234" s="41">
        <f t="shared" si="23"/>
        <v>0</v>
      </c>
    </row>
    <row r="235" spans="1:21" ht="14.1" customHeight="1">
      <c r="A235" s="54">
        <f t="shared" si="18"/>
        <v>235</v>
      </c>
      <c r="B235" s="70" t="s">
        <v>409</v>
      </c>
      <c r="C235" s="70"/>
      <c r="D235" s="416" t="s">
        <v>410</v>
      </c>
      <c r="E235" s="416">
        <v>1</v>
      </c>
      <c r="F235" s="71">
        <v>57</v>
      </c>
      <c r="G235" s="40" t="s">
        <v>176</v>
      </c>
      <c r="H235" s="40" t="s">
        <v>176</v>
      </c>
      <c r="I235" s="40" t="s">
        <v>225</v>
      </c>
      <c r="J235" s="460">
        <v>26.05</v>
      </c>
      <c r="K235" s="371">
        <f t="shared" si="19"/>
        <v>200</v>
      </c>
      <c r="L235" s="72">
        <v>200</v>
      </c>
      <c r="M235" s="72"/>
      <c r="N235" s="73" t="e">
        <f t="shared" si="20"/>
        <v>#DIV/0!</v>
      </c>
      <c r="O235" s="73">
        <f t="shared" si="21"/>
        <v>0</v>
      </c>
      <c r="P235" s="74">
        <f>IF(L235="nio",0,IF(L235&gt;0,VLOOKUP(H235,'3-Productie normen'!A:J,VLOOKUP(L235,'3-Productie normen'!$B$33:$C$38,2,FALSE),FALSE)))/VLOOKUP(B235,'2-Kosten per locatie'!$A$12:$C$23,3,FALSE)</f>
        <v>0</v>
      </c>
      <c r="Q235" s="74">
        <f t="shared" si="22"/>
        <v>0</v>
      </c>
      <c r="R235" s="75" t="str">
        <f>VLOOKUP(H235,'3-Productie normen'!A:L,12,FALSE)</f>
        <v>B</v>
      </c>
      <c r="S235" s="75"/>
      <c r="U235" s="41">
        <f t="shared" si="23"/>
        <v>5210</v>
      </c>
    </row>
    <row r="236" spans="1:21" ht="14.1" customHeight="1">
      <c r="A236" s="54">
        <f t="shared" si="18"/>
        <v>236</v>
      </c>
      <c r="B236" s="70" t="s">
        <v>409</v>
      </c>
      <c r="C236" s="70"/>
      <c r="D236" s="416" t="s">
        <v>410</v>
      </c>
      <c r="E236" s="416">
        <v>1</v>
      </c>
      <c r="F236" s="71">
        <v>58</v>
      </c>
      <c r="G236" s="40" t="s">
        <v>17</v>
      </c>
      <c r="H236" s="40" t="s">
        <v>17</v>
      </c>
      <c r="I236" s="40" t="s">
        <v>404</v>
      </c>
      <c r="J236" s="460">
        <v>1.19</v>
      </c>
      <c r="K236" s="371">
        <f t="shared" si="19"/>
        <v>200</v>
      </c>
      <c r="L236" s="72">
        <v>200</v>
      </c>
      <c r="M236" s="72"/>
      <c r="N236" s="73" t="e">
        <f t="shared" si="20"/>
        <v>#DIV/0!</v>
      </c>
      <c r="O236" s="73">
        <f t="shared" si="21"/>
        <v>0</v>
      </c>
      <c r="P236" s="74">
        <f>IF(L236="nio",0,IF(L236&gt;0,VLOOKUP(H236,'3-Productie normen'!A:J,VLOOKUP(L236,'3-Productie normen'!$B$33:$C$38,2,FALSE),FALSE)))/VLOOKUP(B236,'2-Kosten per locatie'!$A$12:$C$23,3,FALSE)</f>
        <v>0</v>
      </c>
      <c r="Q236" s="74">
        <f t="shared" si="22"/>
        <v>0</v>
      </c>
      <c r="R236" s="75" t="str">
        <f>VLOOKUP(H236,'3-Productie normen'!A:L,12,FALSE)</f>
        <v>S</v>
      </c>
      <c r="S236" s="75"/>
      <c r="U236" s="41">
        <f t="shared" si="23"/>
        <v>238</v>
      </c>
    </row>
    <row r="237" spans="1:21" ht="14.1" customHeight="1">
      <c r="A237" s="54">
        <f t="shared" si="18"/>
        <v>237</v>
      </c>
      <c r="B237" s="70" t="s">
        <v>409</v>
      </c>
      <c r="C237" s="70"/>
      <c r="D237" s="416" t="s">
        <v>410</v>
      </c>
      <c r="E237" s="416">
        <v>2</v>
      </c>
      <c r="F237" s="71">
        <v>59</v>
      </c>
      <c r="G237" s="40" t="s">
        <v>248</v>
      </c>
      <c r="H237" s="40" t="s">
        <v>232</v>
      </c>
      <c r="I237" s="40" t="s">
        <v>245</v>
      </c>
      <c r="J237" s="460">
        <v>10.97</v>
      </c>
      <c r="K237" s="371">
        <f t="shared" si="19"/>
        <v>200</v>
      </c>
      <c r="L237" s="72">
        <v>200</v>
      </c>
      <c r="M237" s="72"/>
      <c r="N237" s="73" t="e">
        <f t="shared" si="20"/>
        <v>#DIV/0!</v>
      </c>
      <c r="O237" s="73">
        <f t="shared" si="21"/>
        <v>0</v>
      </c>
      <c r="P237" s="74">
        <f>IF(L237="nio",0,IF(L237&gt;0,VLOOKUP(H237,'3-Productie normen'!A:J,VLOOKUP(L237,'3-Productie normen'!$B$33:$C$38,2,FALSE),FALSE)))/VLOOKUP(B237,'2-Kosten per locatie'!$A$12:$C$23,3,FALSE)</f>
        <v>0</v>
      </c>
      <c r="Q237" s="74">
        <f t="shared" si="22"/>
        <v>0</v>
      </c>
      <c r="R237" s="75" t="str">
        <f>VLOOKUP(H237,'3-Productie normen'!A:L,12,FALSE)</f>
        <v>V</v>
      </c>
      <c r="S237" s="75"/>
      <c r="U237" s="41">
        <f t="shared" si="23"/>
        <v>2194</v>
      </c>
    </row>
    <row r="238" spans="1:21" ht="14.1" customHeight="1">
      <c r="A238" s="54">
        <f t="shared" si="18"/>
        <v>238</v>
      </c>
      <c r="B238" s="70" t="s">
        <v>409</v>
      </c>
      <c r="C238" s="70"/>
      <c r="D238" s="416" t="s">
        <v>410</v>
      </c>
      <c r="E238" s="416">
        <v>2</v>
      </c>
      <c r="F238" s="71">
        <v>60</v>
      </c>
      <c r="G238" s="40" t="s">
        <v>17</v>
      </c>
      <c r="H238" s="40" t="s">
        <v>17</v>
      </c>
      <c r="I238" s="40" t="s">
        <v>245</v>
      </c>
      <c r="J238" s="460">
        <v>4.4800000000000004</v>
      </c>
      <c r="K238" s="371">
        <f t="shared" si="19"/>
        <v>200</v>
      </c>
      <c r="L238" s="72">
        <v>200</v>
      </c>
      <c r="M238" s="72"/>
      <c r="N238" s="73" t="e">
        <f t="shared" si="20"/>
        <v>#DIV/0!</v>
      </c>
      <c r="O238" s="73">
        <f t="shared" si="21"/>
        <v>0</v>
      </c>
      <c r="P238" s="74">
        <f>IF(L238="nio",0,IF(L238&gt;0,VLOOKUP(H238,'3-Productie normen'!A:J,VLOOKUP(L238,'3-Productie normen'!$B$33:$C$38,2,FALSE),FALSE)))/VLOOKUP(B238,'2-Kosten per locatie'!$A$12:$C$23,3,FALSE)</f>
        <v>0</v>
      </c>
      <c r="Q238" s="74">
        <f t="shared" si="22"/>
        <v>0</v>
      </c>
      <c r="R238" s="75" t="str">
        <f>VLOOKUP(H238,'3-Productie normen'!A:L,12,FALSE)</f>
        <v>S</v>
      </c>
      <c r="S238" s="75"/>
      <c r="U238" s="41">
        <f t="shared" si="23"/>
        <v>896.00000000000011</v>
      </c>
    </row>
    <row r="239" spans="1:21" ht="14.1" customHeight="1">
      <c r="A239" s="54">
        <f t="shared" si="18"/>
        <v>239</v>
      </c>
      <c r="B239" s="70" t="s">
        <v>409</v>
      </c>
      <c r="C239" s="70"/>
      <c r="D239" s="418" t="s">
        <v>410</v>
      </c>
      <c r="E239" s="418">
        <v>2</v>
      </c>
      <c r="F239" s="81">
        <v>61</v>
      </c>
      <c r="G239" s="81" t="s">
        <v>17</v>
      </c>
      <c r="H239" s="81" t="s">
        <v>17</v>
      </c>
      <c r="I239" s="82" t="s">
        <v>245</v>
      </c>
      <c r="J239" s="461">
        <v>4.4800000000000004</v>
      </c>
      <c r="K239" s="371">
        <f t="shared" si="19"/>
        <v>200</v>
      </c>
      <c r="L239" s="72">
        <v>200</v>
      </c>
      <c r="M239" s="72"/>
      <c r="N239" s="73" t="e">
        <f t="shared" si="20"/>
        <v>#DIV/0!</v>
      </c>
      <c r="O239" s="73">
        <f t="shared" si="21"/>
        <v>0</v>
      </c>
      <c r="P239" s="74">
        <f>IF(L239="nio",0,IF(L239&gt;0,VLOOKUP(H239,'3-Productie normen'!A:J,VLOOKUP(L239,'3-Productie normen'!$B$33:$C$38,2,FALSE),FALSE)))/VLOOKUP(B239,'2-Kosten per locatie'!$A$12:$C$23,3,FALSE)</f>
        <v>0</v>
      </c>
      <c r="Q239" s="74">
        <f t="shared" si="22"/>
        <v>0</v>
      </c>
      <c r="R239" s="75" t="str">
        <f>VLOOKUP(H239,'3-Productie normen'!A:L,12,FALSE)</f>
        <v>S</v>
      </c>
      <c r="S239" s="75"/>
      <c r="U239" s="41">
        <f t="shared" si="23"/>
        <v>896.00000000000011</v>
      </c>
    </row>
    <row r="240" spans="1:21" ht="14.1" customHeight="1">
      <c r="A240" s="54">
        <f t="shared" si="18"/>
        <v>240</v>
      </c>
      <c r="B240" s="70" t="s">
        <v>409</v>
      </c>
      <c r="C240" s="70"/>
      <c r="D240" s="418" t="s">
        <v>410</v>
      </c>
      <c r="E240" s="418">
        <v>2</v>
      </c>
      <c r="F240" s="81">
        <v>62</v>
      </c>
      <c r="G240" s="81" t="s">
        <v>240</v>
      </c>
      <c r="H240" s="81" t="s">
        <v>240</v>
      </c>
      <c r="I240" s="82" t="s">
        <v>225</v>
      </c>
      <c r="J240" s="461">
        <v>44.2</v>
      </c>
      <c r="K240" s="371">
        <f t="shared" si="19"/>
        <v>200</v>
      </c>
      <c r="L240" s="72">
        <v>200</v>
      </c>
      <c r="M240" s="72"/>
      <c r="N240" s="73" t="e">
        <f t="shared" si="20"/>
        <v>#DIV/0!</v>
      </c>
      <c r="O240" s="73">
        <f t="shared" si="21"/>
        <v>0</v>
      </c>
      <c r="P240" s="74">
        <f>IF(L240="nio",0,IF(L240&gt;0,VLOOKUP(H240,'3-Productie normen'!A:J,VLOOKUP(L240,'3-Productie normen'!$B$33:$C$38,2,FALSE),FALSE)))/VLOOKUP(B240,'2-Kosten per locatie'!$A$12:$C$23,3,FALSE)</f>
        <v>0</v>
      </c>
      <c r="Q240" s="74">
        <f t="shared" si="22"/>
        <v>0</v>
      </c>
      <c r="R240" s="75" t="str">
        <f>VLOOKUP(H240,'3-Productie normen'!A:L,12,FALSE)</f>
        <v>V</v>
      </c>
      <c r="S240" s="75"/>
      <c r="U240" s="41">
        <f t="shared" si="23"/>
        <v>8840</v>
      </c>
    </row>
    <row r="241" spans="1:21" ht="14.1" customHeight="1">
      <c r="A241" s="54">
        <f t="shared" si="18"/>
        <v>241</v>
      </c>
      <c r="B241" s="70" t="s">
        <v>409</v>
      </c>
      <c r="C241" s="70"/>
      <c r="D241" s="418" t="s">
        <v>410</v>
      </c>
      <c r="E241" s="418">
        <v>2</v>
      </c>
      <c r="F241" s="81">
        <v>63</v>
      </c>
      <c r="G241" s="81" t="s">
        <v>240</v>
      </c>
      <c r="H241" s="81" t="s">
        <v>240</v>
      </c>
      <c r="I241" s="82" t="s">
        <v>225</v>
      </c>
      <c r="J241" s="461">
        <v>54.1</v>
      </c>
      <c r="K241" s="371">
        <f t="shared" si="19"/>
        <v>200</v>
      </c>
      <c r="L241" s="72">
        <v>200</v>
      </c>
      <c r="M241" s="72"/>
      <c r="N241" s="73" t="e">
        <f t="shared" si="20"/>
        <v>#DIV/0!</v>
      </c>
      <c r="O241" s="73">
        <f t="shared" si="21"/>
        <v>0</v>
      </c>
      <c r="P241" s="74">
        <f>IF(L241="nio",0,IF(L241&gt;0,VLOOKUP(H241,'3-Productie normen'!A:J,VLOOKUP(L241,'3-Productie normen'!$B$33:$C$38,2,FALSE),FALSE)))/VLOOKUP(B241,'2-Kosten per locatie'!$A$12:$C$23,3,FALSE)</f>
        <v>0</v>
      </c>
      <c r="Q241" s="74">
        <f t="shared" si="22"/>
        <v>0</v>
      </c>
      <c r="R241" s="75" t="str">
        <f>VLOOKUP(H241,'3-Productie normen'!A:L,12,FALSE)</f>
        <v>V</v>
      </c>
      <c r="S241" s="75"/>
      <c r="U241" s="41">
        <f t="shared" si="23"/>
        <v>10820</v>
      </c>
    </row>
    <row r="242" spans="1:21" ht="14.1" customHeight="1">
      <c r="A242" s="54">
        <f t="shared" si="18"/>
        <v>242</v>
      </c>
      <c r="B242" s="70" t="s">
        <v>409</v>
      </c>
      <c r="C242" s="70"/>
      <c r="D242" s="418" t="s">
        <v>410</v>
      </c>
      <c r="E242" s="418">
        <v>2</v>
      </c>
      <c r="F242" s="81">
        <v>64</v>
      </c>
      <c r="G242" s="81" t="s">
        <v>248</v>
      </c>
      <c r="H242" s="81" t="s">
        <v>232</v>
      </c>
      <c r="I242" s="82" t="s">
        <v>245</v>
      </c>
      <c r="J242" s="461">
        <v>8.86</v>
      </c>
      <c r="K242" s="371">
        <f t="shared" si="19"/>
        <v>200</v>
      </c>
      <c r="L242" s="72">
        <v>200</v>
      </c>
      <c r="M242" s="72"/>
      <c r="N242" s="73" t="e">
        <f t="shared" si="20"/>
        <v>#DIV/0!</v>
      </c>
      <c r="O242" s="73">
        <f t="shared" si="21"/>
        <v>0</v>
      </c>
      <c r="P242" s="74">
        <f>IF(L242="nio",0,IF(L242&gt;0,VLOOKUP(H242,'3-Productie normen'!A:J,VLOOKUP(L242,'3-Productie normen'!$B$33:$C$38,2,FALSE),FALSE)))/VLOOKUP(B242,'2-Kosten per locatie'!$A$12:$C$23,3,FALSE)</f>
        <v>0</v>
      </c>
      <c r="Q242" s="74">
        <f t="shared" si="22"/>
        <v>0</v>
      </c>
      <c r="R242" s="75" t="str">
        <f>VLOOKUP(H242,'3-Productie normen'!A:L,12,FALSE)</f>
        <v>V</v>
      </c>
      <c r="S242" s="75"/>
      <c r="U242" s="41">
        <f t="shared" si="23"/>
        <v>1772</v>
      </c>
    </row>
    <row r="243" spans="1:21" ht="14.1" customHeight="1">
      <c r="A243" s="54">
        <f t="shared" si="18"/>
        <v>243</v>
      </c>
      <c r="B243" s="70" t="s">
        <v>409</v>
      </c>
      <c r="C243" s="70"/>
      <c r="D243" s="418" t="s">
        <v>410</v>
      </c>
      <c r="E243" s="418">
        <v>2</v>
      </c>
      <c r="F243" s="81">
        <v>65</v>
      </c>
      <c r="G243" s="81" t="s">
        <v>248</v>
      </c>
      <c r="H243" s="81" t="s">
        <v>232</v>
      </c>
      <c r="I243" s="82" t="s">
        <v>245</v>
      </c>
      <c r="J243" s="461">
        <v>109.08</v>
      </c>
      <c r="K243" s="371">
        <f t="shared" si="19"/>
        <v>200</v>
      </c>
      <c r="L243" s="72">
        <v>200</v>
      </c>
      <c r="M243" s="72"/>
      <c r="N243" s="73" t="e">
        <f t="shared" si="20"/>
        <v>#DIV/0!</v>
      </c>
      <c r="O243" s="73">
        <f t="shared" si="21"/>
        <v>0</v>
      </c>
      <c r="P243" s="74">
        <f>IF(L243="nio",0,IF(L243&gt;0,VLOOKUP(H243,'3-Productie normen'!A:J,VLOOKUP(L243,'3-Productie normen'!$B$33:$C$38,2,FALSE),FALSE)))/VLOOKUP(B243,'2-Kosten per locatie'!$A$12:$C$23,3,FALSE)</f>
        <v>0</v>
      </c>
      <c r="Q243" s="74">
        <f t="shared" si="22"/>
        <v>0</v>
      </c>
      <c r="R243" s="75" t="str">
        <f>VLOOKUP(H243,'3-Productie normen'!A:L,12,FALSE)</f>
        <v>V</v>
      </c>
      <c r="S243" s="75"/>
      <c r="U243" s="41">
        <f t="shared" si="23"/>
        <v>21816</v>
      </c>
    </row>
    <row r="244" spans="1:21" ht="14.1" customHeight="1">
      <c r="A244" s="54">
        <f t="shared" si="18"/>
        <v>244</v>
      </c>
      <c r="B244" s="70" t="s">
        <v>409</v>
      </c>
      <c r="C244" s="70"/>
      <c r="D244" s="418" t="s">
        <v>410</v>
      </c>
      <c r="E244" s="418">
        <v>2</v>
      </c>
      <c r="F244" s="81">
        <v>66</v>
      </c>
      <c r="G244" s="81" t="s">
        <v>248</v>
      </c>
      <c r="H244" s="81" t="s">
        <v>232</v>
      </c>
      <c r="I244" s="81" t="s">
        <v>245</v>
      </c>
      <c r="J244" s="461">
        <v>11.78</v>
      </c>
      <c r="K244" s="371">
        <f t="shared" si="19"/>
        <v>200</v>
      </c>
      <c r="L244" s="72">
        <v>200</v>
      </c>
      <c r="M244" s="72"/>
      <c r="N244" s="73" t="e">
        <f t="shared" si="20"/>
        <v>#DIV/0!</v>
      </c>
      <c r="O244" s="73">
        <f t="shared" si="21"/>
        <v>0</v>
      </c>
      <c r="P244" s="74">
        <f>IF(L244="nio",0,IF(L244&gt;0,VLOOKUP(H244,'3-Productie normen'!A:J,VLOOKUP(L244,'3-Productie normen'!$B$33:$C$38,2,FALSE),FALSE)))/VLOOKUP(B244,'2-Kosten per locatie'!$A$12:$C$23,3,FALSE)</f>
        <v>0</v>
      </c>
      <c r="Q244" s="74">
        <f t="shared" si="22"/>
        <v>0</v>
      </c>
      <c r="R244" s="75" t="str">
        <f>VLOOKUP(H244,'3-Productie normen'!A:L,12,FALSE)</f>
        <v>V</v>
      </c>
      <c r="S244" s="75"/>
      <c r="U244" s="41">
        <f t="shared" si="23"/>
        <v>2356</v>
      </c>
    </row>
    <row r="245" spans="1:21" ht="14.1" customHeight="1">
      <c r="A245" s="54">
        <f t="shared" si="18"/>
        <v>245</v>
      </c>
      <c r="B245" s="70" t="s">
        <v>409</v>
      </c>
      <c r="C245" s="70"/>
      <c r="D245" s="418" t="s">
        <v>410</v>
      </c>
      <c r="E245" s="418">
        <v>1</v>
      </c>
      <c r="F245" s="81">
        <v>67</v>
      </c>
      <c r="G245" s="81" t="s">
        <v>17</v>
      </c>
      <c r="H245" s="81" t="s">
        <v>17</v>
      </c>
      <c r="I245" s="81" t="s">
        <v>245</v>
      </c>
      <c r="J245" s="461">
        <v>0.96</v>
      </c>
      <c r="K245" s="371">
        <f t="shared" si="19"/>
        <v>200</v>
      </c>
      <c r="L245" s="72">
        <v>200</v>
      </c>
      <c r="M245" s="72"/>
      <c r="N245" s="73" t="e">
        <f t="shared" si="20"/>
        <v>#DIV/0!</v>
      </c>
      <c r="O245" s="73">
        <f t="shared" si="21"/>
        <v>0</v>
      </c>
      <c r="P245" s="74">
        <f>IF(L245="nio",0,IF(L245&gt;0,VLOOKUP(H245,'3-Productie normen'!A:J,VLOOKUP(L245,'3-Productie normen'!$B$33:$C$38,2,FALSE),FALSE)))/VLOOKUP(B245,'2-Kosten per locatie'!$A$12:$C$23,3,FALSE)</f>
        <v>0</v>
      </c>
      <c r="Q245" s="74">
        <f t="shared" si="22"/>
        <v>0</v>
      </c>
      <c r="R245" s="75" t="str">
        <f>VLOOKUP(H245,'3-Productie normen'!A:L,12,FALSE)</f>
        <v>S</v>
      </c>
      <c r="S245" s="75"/>
      <c r="U245" s="41">
        <f t="shared" si="23"/>
        <v>192</v>
      </c>
    </row>
    <row r="246" spans="1:21" ht="14.1" customHeight="1">
      <c r="A246" s="54">
        <f t="shared" si="18"/>
        <v>246</v>
      </c>
      <c r="B246" s="70" t="s">
        <v>409</v>
      </c>
      <c r="C246" s="70"/>
      <c r="D246" s="418" t="s">
        <v>410</v>
      </c>
      <c r="E246" s="418">
        <v>2</v>
      </c>
      <c r="F246" s="81">
        <v>68</v>
      </c>
      <c r="G246" s="81" t="s">
        <v>252</v>
      </c>
      <c r="H246" s="81" t="s">
        <v>101</v>
      </c>
      <c r="I246" s="81" t="s">
        <v>234</v>
      </c>
      <c r="J246" s="461">
        <v>5.5</v>
      </c>
      <c r="K246" s="371">
        <f t="shared" si="19"/>
        <v>0</v>
      </c>
      <c r="L246" s="72" t="s">
        <v>101</v>
      </c>
      <c r="M246" s="72"/>
      <c r="N246" s="73">
        <f t="shared" si="20"/>
        <v>0</v>
      </c>
      <c r="O246" s="73">
        <f t="shared" si="21"/>
        <v>0</v>
      </c>
      <c r="P246" s="74">
        <f>IF(L246="nio",0,IF(L246&gt;0,VLOOKUP(H246,'3-Productie normen'!A:J,VLOOKUP(L246,'3-Productie normen'!$B$33:$C$38,2,FALSE),FALSE)))/VLOOKUP(B246,'2-Kosten per locatie'!$A$12:$C$23,3,FALSE)</f>
        <v>0</v>
      </c>
      <c r="Q246" s="74">
        <f t="shared" si="22"/>
        <v>0</v>
      </c>
      <c r="R246" s="75">
        <f>VLOOKUP(H246,'3-Productie normen'!A:L,12,FALSE)</f>
        <v>0</v>
      </c>
      <c r="S246" s="75"/>
      <c r="U246" s="41">
        <f t="shared" si="23"/>
        <v>0</v>
      </c>
    </row>
    <row r="247" spans="1:21" ht="14.1" customHeight="1">
      <c r="A247" s="54">
        <f t="shared" si="18"/>
        <v>247</v>
      </c>
      <c r="B247" s="70" t="s">
        <v>409</v>
      </c>
      <c r="C247" s="70"/>
      <c r="D247" s="418" t="s">
        <v>410</v>
      </c>
      <c r="E247" s="418">
        <v>2</v>
      </c>
      <c r="F247" s="81">
        <v>69</v>
      </c>
      <c r="G247" s="81" t="s">
        <v>240</v>
      </c>
      <c r="H247" s="81" t="s">
        <v>240</v>
      </c>
      <c r="I247" s="81" t="s">
        <v>225</v>
      </c>
      <c r="J247" s="461">
        <v>46.96</v>
      </c>
      <c r="K247" s="371">
        <f t="shared" si="19"/>
        <v>200</v>
      </c>
      <c r="L247" s="72">
        <v>200</v>
      </c>
      <c r="M247" s="72"/>
      <c r="N247" s="73" t="e">
        <f t="shared" si="20"/>
        <v>#DIV/0!</v>
      </c>
      <c r="O247" s="73">
        <f t="shared" si="21"/>
        <v>0</v>
      </c>
      <c r="P247" s="74">
        <f>IF(L247="nio",0,IF(L247&gt;0,VLOOKUP(H247,'3-Productie normen'!A:J,VLOOKUP(L247,'3-Productie normen'!$B$33:$C$38,2,FALSE),FALSE)))/VLOOKUP(B247,'2-Kosten per locatie'!$A$12:$C$23,3,FALSE)</f>
        <v>0</v>
      </c>
      <c r="Q247" s="74">
        <f t="shared" si="22"/>
        <v>0</v>
      </c>
      <c r="R247" s="75" t="str">
        <f>VLOOKUP(H247,'3-Productie normen'!A:L,12,FALSE)</f>
        <v>V</v>
      </c>
      <c r="S247" s="75"/>
      <c r="U247" s="41">
        <f t="shared" si="23"/>
        <v>9392</v>
      </c>
    </row>
    <row r="248" spans="1:21" ht="14.1" customHeight="1">
      <c r="A248" s="54">
        <f t="shared" si="18"/>
        <v>248</v>
      </c>
      <c r="B248" s="70" t="s">
        <v>409</v>
      </c>
      <c r="C248" s="70"/>
      <c r="D248" s="418" t="s">
        <v>410</v>
      </c>
      <c r="E248" s="418">
        <v>2</v>
      </c>
      <c r="F248" s="81">
        <v>70</v>
      </c>
      <c r="G248" s="81" t="s">
        <v>240</v>
      </c>
      <c r="H248" s="81" t="s">
        <v>240</v>
      </c>
      <c r="I248" s="81" t="s">
        <v>225</v>
      </c>
      <c r="J248" s="461">
        <v>50.7</v>
      </c>
      <c r="K248" s="371">
        <f t="shared" si="19"/>
        <v>200</v>
      </c>
      <c r="L248" s="72">
        <v>200</v>
      </c>
      <c r="M248" s="72"/>
      <c r="N248" s="73" t="e">
        <f t="shared" si="20"/>
        <v>#DIV/0!</v>
      </c>
      <c r="O248" s="73">
        <f t="shared" si="21"/>
        <v>0</v>
      </c>
      <c r="P248" s="74">
        <f>IF(L248="nio",0,IF(L248&gt;0,VLOOKUP(H248,'3-Productie normen'!A:J,VLOOKUP(L248,'3-Productie normen'!$B$33:$C$38,2,FALSE),FALSE)))/VLOOKUP(B248,'2-Kosten per locatie'!$A$12:$C$23,3,FALSE)</f>
        <v>0</v>
      </c>
      <c r="Q248" s="74">
        <f t="shared" si="22"/>
        <v>0</v>
      </c>
      <c r="R248" s="75" t="str">
        <f>VLOOKUP(H248,'3-Productie normen'!A:L,12,FALSE)</f>
        <v>V</v>
      </c>
      <c r="S248" s="75"/>
      <c r="U248" s="41">
        <f t="shared" si="23"/>
        <v>10140</v>
      </c>
    </row>
    <row r="249" spans="1:21" ht="14.1" customHeight="1">
      <c r="A249" s="54">
        <f t="shared" si="18"/>
        <v>249</v>
      </c>
      <c r="B249" s="70" t="s">
        <v>409</v>
      </c>
      <c r="C249" s="70"/>
      <c r="D249" s="418" t="s">
        <v>410</v>
      </c>
      <c r="E249" s="418">
        <v>2</v>
      </c>
      <c r="F249" s="81">
        <v>71</v>
      </c>
      <c r="G249" s="81" t="s">
        <v>233</v>
      </c>
      <c r="H249" s="81" t="s">
        <v>233</v>
      </c>
      <c r="I249" s="81" t="s">
        <v>225</v>
      </c>
      <c r="J249" s="461">
        <v>50.7</v>
      </c>
      <c r="K249" s="371">
        <f t="shared" si="19"/>
        <v>200</v>
      </c>
      <c r="L249" s="72">
        <v>200</v>
      </c>
      <c r="M249" s="72"/>
      <c r="N249" s="73" t="e">
        <f t="shared" si="20"/>
        <v>#DIV/0!</v>
      </c>
      <c r="O249" s="73">
        <f t="shared" si="21"/>
        <v>0</v>
      </c>
      <c r="P249" s="74">
        <f>IF(L249="nio",0,IF(L249&gt;0,VLOOKUP(H249,'3-Productie normen'!A:J,VLOOKUP(L249,'3-Productie normen'!$B$33:$C$38,2,FALSE),FALSE)))/VLOOKUP(B249,'2-Kosten per locatie'!$A$12:$C$23,3,FALSE)</f>
        <v>0</v>
      </c>
      <c r="Q249" s="74">
        <f t="shared" si="22"/>
        <v>0</v>
      </c>
      <c r="R249" s="75" t="str">
        <f>VLOOKUP(H249,'3-Productie normen'!A:L,12,FALSE)</f>
        <v>L</v>
      </c>
      <c r="S249" s="75"/>
      <c r="U249" s="41">
        <f t="shared" si="23"/>
        <v>10140</v>
      </c>
    </row>
    <row r="250" spans="1:21" ht="14.1" customHeight="1">
      <c r="A250" s="54">
        <f t="shared" si="18"/>
        <v>250</v>
      </c>
      <c r="B250" s="70" t="s">
        <v>409</v>
      </c>
      <c r="C250" s="70"/>
      <c r="D250" s="418" t="s">
        <v>410</v>
      </c>
      <c r="E250" s="418">
        <v>2</v>
      </c>
      <c r="F250" s="81">
        <v>72</v>
      </c>
      <c r="G250" s="81" t="s">
        <v>240</v>
      </c>
      <c r="H250" s="81" t="s">
        <v>240</v>
      </c>
      <c r="I250" s="81" t="s">
        <v>225</v>
      </c>
      <c r="J250" s="461">
        <v>46.95</v>
      </c>
      <c r="K250" s="371">
        <f t="shared" si="19"/>
        <v>200</v>
      </c>
      <c r="L250" s="72">
        <v>200</v>
      </c>
      <c r="M250" s="72"/>
      <c r="N250" s="73" t="e">
        <f t="shared" si="20"/>
        <v>#DIV/0!</v>
      </c>
      <c r="O250" s="73">
        <f t="shared" si="21"/>
        <v>0</v>
      </c>
      <c r="P250" s="74">
        <f>IF(L250="nio",0,IF(L250&gt;0,VLOOKUP(H250,'3-Productie normen'!A:J,VLOOKUP(L250,'3-Productie normen'!$B$33:$C$38,2,FALSE),FALSE)))/VLOOKUP(B250,'2-Kosten per locatie'!$A$12:$C$23,3,FALSE)</f>
        <v>0</v>
      </c>
      <c r="Q250" s="74">
        <f t="shared" si="22"/>
        <v>0</v>
      </c>
      <c r="R250" s="75" t="str">
        <f>VLOOKUP(H250,'3-Productie normen'!A:L,12,FALSE)</f>
        <v>V</v>
      </c>
      <c r="S250" s="75"/>
      <c r="U250" s="41">
        <f t="shared" si="23"/>
        <v>9390</v>
      </c>
    </row>
    <row r="251" spans="1:21" ht="14.1" customHeight="1">
      <c r="A251" s="54">
        <f t="shared" si="18"/>
        <v>251</v>
      </c>
      <c r="B251" s="70" t="s">
        <v>409</v>
      </c>
      <c r="C251" s="70"/>
      <c r="D251" s="418" t="s">
        <v>410</v>
      </c>
      <c r="E251" s="418">
        <v>2</v>
      </c>
      <c r="F251" s="81">
        <v>73</v>
      </c>
      <c r="G251" s="81" t="s">
        <v>17</v>
      </c>
      <c r="H251" s="81" t="s">
        <v>17</v>
      </c>
      <c r="I251" s="81" t="s">
        <v>245</v>
      </c>
      <c r="J251" s="461">
        <v>0.96</v>
      </c>
      <c r="K251" s="371">
        <f t="shared" si="19"/>
        <v>200</v>
      </c>
      <c r="L251" s="72">
        <v>200</v>
      </c>
      <c r="M251" s="72"/>
      <c r="N251" s="73" t="e">
        <f t="shared" si="20"/>
        <v>#DIV/0!</v>
      </c>
      <c r="O251" s="73">
        <f t="shared" si="21"/>
        <v>0</v>
      </c>
      <c r="P251" s="74">
        <f>IF(L251="nio",0,IF(L251&gt;0,VLOOKUP(H251,'3-Productie normen'!A:J,VLOOKUP(L251,'3-Productie normen'!$B$33:$C$38,2,FALSE),FALSE)))/VLOOKUP(B251,'2-Kosten per locatie'!$A$12:$C$23,3,FALSE)</f>
        <v>0</v>
      </c>
      <c r="Q251" s="74">
        <f t="shared" si="22"/>
        <v>0</v>
      </c>
      <c r="R251" s="75" t="str">
        <f>VLOOKUP(H251,'3-Productie normen'!A:L,12,FALSE)</f>
        <v>S</v>
      </c>
      <c r="S251" s="75"/>
      <c r="U251" s="41">
        <f t="shared" si="23"/>
        <v>192</v>
      </c>
    </row>
    <row r="252" spans="1:21" ht="14.1" customHeight="1">
      <c r="A252" s="54">
        <f t="shared" si="18"/>
        <v>252</v>
      </c>
      <c r="B252" s="70" t="s">
        <v>416</v>
      </c>
      <c r="C252" s="70"/>
      <c r="D252" s="418" t="s">
        <v>417</v>
      </c>
      <c r="E252" s="418" t="s">
        <v>89</v>
      </c>
      <c r="F252" s="81">
        <v>1</v>
      </c>
      <c r="G252" s="81" t="s">
        <v>248</v>
      </c>
      <c r="H252" s="81" t="s">
        <v>232</v>
      </c>
      <c r="I252" s="81" t="s">
        <v>225</v>
      </c>
      <c r="J252" s="461">
        <v>89.27</v>
      </c>
      <c r="K252" s="371">
        <f t="shared" si="19"/>
        <v>200</v>
      </c>
      <c r="L252" s="72">
        <v>200</v>
      </c>
      <c r="M252" s="72"/>
      <c r="N252" s="73" t="e">
        <f t="shared" si="20"/>
        <v>#DIV/0!</v>
      </c>
      <c r="O252" s="73">
        <f t="shared" si="21"/>
        <v>0</v>
      </c>
      <c r="P252" s="74">
        <f>IF(L252="nio",0,IF(L252&gt;0,VLOOKUP(H252,'3-Productie normen'!A:J,VLOOKUP(L252,'3-Productie normen'!$B$33:$C$38,2,FALSE),FALSE)))/VLOOKUP(B252,'2-Kosten per locatie'!$A$12:$C$23,3,FALSE)</f>
        <v>0</v>
      </c>
      <c r="Q252" s="74">
        <f t="shared" si="22"/>
        <v>0</v>
      </c>
      <c r="R252" s="75" t="str">
        <f>VLOOKUP(H252,'3-Productie normen'!A:L,12,FALSE)</f>
        <v>V</v>
      </c>
      <c r="S252" s="75"/>
      <c r="U252" s="41">
        <f t="shared" si="23"/>
        <v>17854</v>
      </c>
    </row>
    <row r="253" spans="1:21" ht="14.1" customHeight="1">
      <c r="A253" s="54">
        <f t="shared" si="18"/>
        <v>253</v>
      </c>
      <c r="B253" s="70" t="s">
        <v>416</v>
      </c>
      <c r="C253" s="70"/>
      <c r="D253" s="418" t="s">
        <v>417</v>
      </c>
      <c r="E253" s="418" t="s">
        <v>89</v>
      </c>
      <c r="F253" s="81">
        <v>2</v>
      </c>
      <c r="G253" s="81" t="s">
        <v>176</v>
      </c>
      <c r="H253" s="81" t="s">
        <v>176</v>
      </c>
      <c r="I253" s="81" t="s">
        <v>225</v>
      </c>
      <c r="J253" s="461">
        <v>25</v>
      </c>
      <c r="K253" s="371">
        <f t="shared" si="19"/>
        <v>200</v>
      </c>
      <c r="L253" s="72">
        <v>200</v>
      </c>
      <c r="M253" s="72"/>
      <c r="N253" s="73" t="e">
        <f t="shared" si="20"/>
        <v>#DIV/0!</v>
      </c>
      <c r="O253" s="73">
        <f t="shared" si="21"/>
        <v>0</v>
      </c>
      <c r="P253" s="74">
        <f>IF(L253="nio",0,IF(L253&gt;0,VLOOKUP(H253,'3-Productie normen'!A:J,VLOOKUP(L253,'3-Productie normen'!$B$33:$C$38,2,FALSE),FALSE)))/VLOOKUP(B253,'2-Kosten per locatie'!$A$12:$C$23,3,FALSE)</f>
        <v>0</v>
      </c>
      <c r="Q253" s="74">
        <f t="shared" si="22"/>
        <v>0</v>
      </c>
      <c r="R253" s="75" t="str">
        <f>VLOOKUP(H253,'3-Productie normen'!A:L,12,FALSE)</f>
        <v>B</v>
      </c>
      <c r="S253" s="75"/>
      <c r="U253" s="41">
        <f t="shared" si="23"/>
        <v>5000</v>
      </c>
    </row>
    <row r="254" spans="1:21" ht="14.1" customHeight="1">
      <c r="A254" s="54">
        <f t="shared" si="18"/>
        <v>254</v>
      </c>
      <c r="B254" s="70" t="s">
        <v>416</v>
      </c>
      <c r="C254" s="70"/>
      <c r="D254" s="418" t="s">
        <v>417</v>
      </c>
      <c r="E254" s="418" t="s">
        <v>89</v>
      </c>
      <c r="F254" s="81">
        <v>3</v>
      </c>
      <c r="G254" s="81" t="s">
        <v>249</v>
      </c>
      <c r="H254" s="81" t="s">
        <v>231</v>
      </c>
      <c r="I254" s="81" t="s">
        <v>225</v>
      </c>
      <c r="J254" s="461">
        <v>35.93</v>
      </c>
      <c r="K254" s="371">
        <f t="shared" si="19"/>
        <v>200</v>
      </c>
      <c r="L254" s="72">
        <v>200</v>
      </c>
      <c r="M254" s="72"/>
      <c r="N254" s="73" t="e">
        <f t="shared" si="20"/>
        <v>#DIV/0!</v>
      </c>
      <c r="O254" s="73">
        <f t="shared" si="21"/>
        <v>0</v>
      </c>
      <c r="P254" s="74">
        <f>IF(L254="nio",0,IF(L254&gt;0,VLOOKUP(H254,'3-Productie normen'!A:J,VLOOKUP(L254,'3-Productie normen'!$B$33:$C$38,2,FALSE),FALSE)))/VLOOKUP(B254,'2-Kosten per locatie'!$A$12:$C$23,3,FALSE)</f>
        <v>0</v>
      </c>
      <c r="Q254" s="74">
        <f t="shared" si="22"/>
        <v>0</v>
      </c>
      <c r="R254" s="75" t="str">
        <f>VLOOKUP(H254,'3-Productie normen'!A:L,12,FALSE)</f>
        <v>L</v>
      </c>
      <c r="S254" s="75"/>
      <c r="U254" s="41">
        <f t="shared" si="23"/>
        <v>7186</v>
      </c>
    </row>
    <row r="255" spans="1:21" ht="14.1" customHeight="1">
      <c r="A255" s="54">
        <f t="shared" si="18"/>
        <v>255</v>
      </c>
      <c r="B255" s="70" t="s">
        <v>416</v>
      </c>
      <c r="C255" s="70"/>
      <c r="D255" s="418" t="s">
        <v>417</v>
      </c>
      <c r="E255" s="418" t="s">
        <v>89</v>
      </c>
      <c r="F255" s="81">
        <v>4</v>
      </c>
      <c r="G255" s="81" t="s">
        <v>249</v>
      </c>
      <c r="H255" s="81" t="s">
        <v>231</v>
      </c>
      <c r="I255" s="81" t="s">
        <v>225</v>
      </c>
      <c r="J255" s="461">
        <v>31.82</v>
      </c>
      <c r="K255" s="371">
        <f t="shared" si="19"/>
        <v>200</v>
      </c>
      <c r="L255" s="72">
        <v>200</v>
      </c>
      <c r="M255" s="72"/>
      <c r="N255" s="73" t="e">
        <f t="shared" si="20"/>
        <v>#DIV/0!</v>
      </c>
      <c r="O255" s="73">
        <f t="shared" si="21"/>
        <v>0</v>
      </c>
      <c r="P255" s="74">
        <f>IF(L255="nio",0,IF(L255&gt;0,VLOOKUP(H255,'3-Productie normen'!A:J,VLOOKUP(L255,'3-Productie normen'!$B$33:$C$38,2,FALSE),FALSE)))/VLOOKUP(B255,'2-Kosten per locatie'!$A$12:$C$23,3,FALSE)</f>
        <v>0</v>
      </c>
      <c r="Q255" s="74">
        <f t="shared" si="22"/>
        <v>0</v>
      </c>
      <c r="R255" s="75" t="str">
        <f>VLOOKUP(H255,'3-Productie normen'!A:L,12,FALSE)</f>
        <v>L</v>
      </c>
      <c r="S255" s="75"/>
      <c r="U255" s="41">
        <f t="shared" si="23"/>
        <v>6364</v>
      </c>
    </row>
    <row r="256" spans="1:21" ht="14.1" customHeight="1">
      <c r="A256" s="54">
        <f t="shared" si="18"/>
        <v>256</v>
      </c>
      <c r="B256" s="70" t="s">
        <v>416</v>
      </c>
      <c r="C256" s="70"/>
      <c r="D256" s="418" t="s">
        <v>417</v>
      </c>
      <c r="E256" s="418" t="s">
        <v>89</v>
      </c>
      <c r="F256" s="81">
        <v>5</v>
      </c>
      <c r="G256" s="81" t="s">
        <v>236</v>
      </c>
      <c r="H256" s="81" t="s">
        <v>236</v>
      </c>
      <c r="I256" s="81" t="s">
        <v>225</v>
      </c>
      <c r="J256" s="461">
        <v>89.95</v>
      </c>
      <c r="K256" s="371">
        <f t="shared" si="19"/>
        <v>200</v>
      </c>
      <c r="L256" s="72">
        <v>200</v>
      </c>
      <c r="M256" s="72"/>
      <c r="N256" s="73" t="e">
        <f t="shared" si="20"/>
        <v>#DIV/0!</v>
      </c>
      <c r="O256" s="73">
        <f t="shared" si="21"/>
        <v>0</v>
      </c>
      <c r="P256" s="74">
        <f>IF(L256="nio",0,IF(L256&gt;0,VLOOKUP(H256,'3-Productie normen'!A:J,VLOOKUP(L256,'3-Productie normen'!$B$33:$C$38,2,FALSE),FALSE)))/VLOOKUP(B256,'2-Kosten per locatie'!$A$12:$C$23,3,FALSE)</f>
        <v>0</v>
      </c>
      <c r="Q256" s="74">
        <f t="shared" si="22"/>
        <v>0</v>
      </c>
      <c r="R256" s="75" t="str">
        <f>VLOOKUP(H256,'3-Productie normen'!A:L,12,FALSE)</f>
        <v>V</v>
      </c>
      <c r="S256" s="75"/>
      <c r="U256" s="41">
        <f t="shared" si="23"/>
        <v>17990</v>
      </c>
    </row>
    <row r="257" spans="1:21" ht="14.1" customHeight="1">
      <c r="A257" s="54">
        <f t="shared" si="18"/>
        <v>257</v>
      </c>
      <c r="B257" s="70" t="s">
        <v>416</v>
      </c>
      <c r="C257" s="70"/>
      <c r="D257" s="418" t="s">
        <v>417</v>
      </c>
      <c r="E257" s="418" t="s">
        <v>89</v>
      </c>
      <c r="F257" s="81">
        <v>6</v>
      </c>
      <c r="G257" s="81" t="s">
        <v>247</v>
      </c>
      <c r="H257" s="81" t="s">
        <v>90</v>
      </c>
      <c r="I257" s="81" t="s">
        <v>227</v>
      </c>
      <c r="J257" s="461">
        <v>8.36</v>
      </c>
      <c r="K257" s="371">
        <f t="shared" si="19"/>
        <v>200</v>
      </c>
      <c r="L257" s="72">
        <v>200</v>
      </c>
      <c r="M257" s="72"/>
      <c r="N257" s="73" t="e">
        <f t="shared" si="20"/>
        <v>#DIV/0!</v>
      </c>
      <c r="O257" s="73">
        <f t="shared" si="21"/>
        <v>0</v>
      </c>
      <c r="P257" s="74">
        <f>IF(L257="nio",0,IF(L257&gt;0,VLOOKUP(H257,'3-Productie normen'!A:J,VLOOKUP(L257,'3-Productie normen'!$B$33:$C$38,2,FALSE),FALSE)))/VLOOKUP(B257,'2-Kosten per locatie'!$A$12:$C$23,3,FALSE)</f>
        <v>0</v>
      </c>
      <c r="Q257" s="74">
        <f t="shared" si="22"/>
        <v>0</v>
      </c>
      <c r="R257" s="75" t="str">
        <f>VLOOKUP(H257,'3-Productie normen'!A:L,12,FALSE)</f>
        <v>V</v>
      </c>
      <c r="S257" s="75"/>
      <c r="U257" s="41">
        <f t="shared" si="23"/>
        <v>1672</v>
      </c>
    </row>
    <row r="258" spans="1:21" ht="14.1" customHeight="1">
      <c r="A258" s="54">
        <f t="shared" si="18"/>
        <v>258</v>
      </c>
      <c r="B258" s="70" t="s">
        <v>416</v>
      </c>
      <c r="C258" s="70"/>
      <c r="D258" s="418" t="s">
        <v>417</v>
      </c>
      <c r="E258" s="418" t="s">
        <v>89</v>
      </c>
      <c r="F258" s="81" t="s">
        <v>385</v>
      </c>
      <c r="G258" s="81" t="s">
        <v>230</v>
      </c>
      <c r="H258" s="81" t="s">
        <v>230</v>
      </c>
      <c r="I258" s="81" t="s">
        <v>225</v>
      </c>
      <c r="J258" s="461">
        <v>73.61</v>
      </c>
      <c r="K258" s="371">
        <f t="shared" si="19"/>
        <v>200</v>
      </c>
      <c r="L258" s="72">
        <v>200</v>
      </c>
      <c r="M258" s="72"/>
      <c r="N258" s="73" t="e">
        <f t="shared" si="20"/>
        <v>#DIV/0!</v>
      </c>
      <c r="O258" s="73">
        <f t="shared" si="21"/>
        <v>0</v>
      </c>
      <c r="P258" s="74">
        <f>IF(L258="nio",0,IF(L258&gt;0,VLOOKUP(H258,'3-Productie normen'!A:J,VLOOKUP(L258,'3-Productie normen'!$B$33:$C$38,2,FALSE),FALSE)))/VLOOKUP(B258,'2-Kosten per locatie'!$A$12:$C$23,3,FALSE)</f>
        <v>0</v>
      </c>
      <c r="Q258" s="74">
        <f t="shared" si="22"/>
        <v>0</v>
      </c>
      <c r="R258" s="75" t="str">
        <f>VLOOKUP(H258,'3-Productie normen'!A:L,12,FALSE)</f>
        <v>S</v>
      </c>
      <c r="S258" s="75"/>
      <c r="U258" s="41">
        <f t="shared" si="23"/>
        <v>14722</v>
      </c>
    </row>
    <row r="259" spans="1:21" ht="14.1" customHeight="1">
      <c r="A259" s="54">
        <f t="shared" ref="A259:A322" si="24">A258+1</f>
        <v>259</v>
      </c>
      <c r="B259" s="70" t="s">
        <v>416</v>
      </c>
      <c r="C259" s="70"/>
      <c r="D259" s="418" t="s">
        <v>417</v>
      </c>
      <c r="E259" s="418" t="s">
        <v>89</v>
      </c>
      <c r="F259" s="83" t="s">
        <v>386</v>
      </c>
      <c r="G259" s="83" t="s">
        <v>17</v>
      </c>
      <c r="H259" s="83" t="s">
        <v>17</v>
      </c>
      <c r="I259" s="81" t="s">
        <v>250</v>
      </c>
      <c r="J259" s="461">
        <v>5.91</v>
      </c>
      <c r="K259" s="371">
        <f t="shared" si="19"/>
        <v>200</v>
      </c>
      <c r="L259" s="72">
        <v>200</v>
      </c>
      <c r="M259" s="72"/>
      <c r="N259" s="73" t="e">
        <f t="shared" si="20"/>
        <v>#DIV/0!</v>
      </c>
      <c r="O259" s="73">
        <f t="shared" si="21"/>
        <v>0</v>
      </c>
      <c r="P259" s="74">
        <f>IF(L259="nio",0,IF(L259&gt;0,VLOOKUP(H259,'3-Productie normen'!A:J,VLOOKUP(L259,'3-Productie normen'!$B$33:$C$38,2,FALSE),FALSE)))/VLOOKUP(B259,'2-Kosten per locatie'!$A$12:$C$23,3,FALSE)</f>
        <v>0</v>
      </c>
      <c r="Q259" s="74">
        <f t="shared" si="22"/>
        <v>0</v>
      </c>
      <c r="R259" s="75" t="str">
        <f>VLOOKUP(H259,'3-Productie normen'!A:L,12,FALSE)</f>
        <v>S</v>
      </c>
      <c r="S259" s="75"/>
      <c r="U259" s="41">
        <f t="shared" si="23"/>
        <v>1182</v>
      </c>
    </row>
    <row r="260" spans="1:21" ht="14.1" customHeight="1">
      <c r="A260" s="54">
        <f t="shared" si="24"/>
        <v>260</v>
      </c>
      <c r="B260" s="70" t="s">
        <v>416</v>
      </c>
      <c r="C260" s="70"/>
      <c r="D260" s="418" t="s">
        <v>417</v>
      </c>
      <c r="E260" s="418" t="s">
        <v>89</v>
      </c>
      <c r="F260" s="81">
        <v>9</v>
      </c>
      <c r="G260" s="81" t="s">
        <v>233</v>
      </c>
      <c r="H260" s="81" t="s">
        <v>233</v>
      </c>
      <c r="I260" s="81" t="s">
        <v>225</v>
      </c>
      <c r="J260" s="461">
        <v>45.22</v>
      </c>
      <c r="K260" s="371">
        <f t="shared" si="19"/>
        <v>200</v>
      </c>
      <c r="L260" s="72">
        <v>200</v>
      </c>
      <c r="M260" s="72"/>
      <c r="N260" s="73" t="e">
        <f t="shared" si="20"/>
        <v>#DIV/0!</v>
      </c>
      <c r="O260" s="73">
        <f t="shared" si="21"/>
        <v>0</v>
      </c>
      <c r="P260" s="74">
        <f>IF(L260="nio",0,IF(L260&gt;0,VLOOKUP(H260,'3-Productie normen'!A:J,VLOOKUP(L260,'3-Productie normen'!$B$33:$C$38,2,FALSE),FALSE)))/VLOOKUP(B260,'2-Kosten per locatie'!$A$12:$C$23,3,FALSE)</f>
        <v>0</v>
      </c>
      <c r="Q260" s="74">
        <f t="shared" si="22"/>
        <v>0</v>
      </c>
      <c r="R260" s="75" t="str">
        <f>VLOOKUP(H260,'3-Productie normen'!A:L,12,FALSE)</f>
        <v>L</v>
      </c>
      <c r="S260" s="75"/>
      <c r="U260" s="41">
        <f t="shared" si="23"/>
        <v>9044</v>
      </c>
    </row>
    <row r="261" spans="1:21" ht="14.1" customHeight="1">
      <c r="A261" s="54">
        <f t="shared" si="24"/>
        <v>261</v>
      </c>
      <c r="B261" s="70" t="s">
        <v>416</v>
      </c>
      <c r="C261" s="70"/>
      <c r="D261" s="418" t="s">
        <v>417</v>
      </c>
      <c r="E261" s="418" t="s">
        <v>89</v>
      </c>
      <c r="F261" s="81">
        <v>10</v>
      </c>
      <c r="G261" s="81" t="s">
        <v>17</v>
      </c>
      <c r="H261" s="81" t="s">
        <v>17</v>
      </c>
      <c r="I261" s="81" t="s">
        <v>250</v>
      </c>
      <c r="J261" s="461">
        <v>4.45</v>
      </c>
      <c r="K261" s="371">
        <f t="shared" si="19"/>
        <v>200</v>
      </c>
      <c r="L261" s="72">
        <v>200</v>
      </c>
      <c r="M261" s="72"/>
      <c r="N261" s="73" t="e">
        <f t="shared" si="20"/>
        <v>#DIV/0!</v>
      </c>
      <c r="O261" s="73">
        <f t="shared" si="21"/>
        <v>0</v>
      </c>
      <c r="P261" s="74">
        <f>IF(L261="nio",0,IF(L261&gt;0,VLOOKUP(H261,'3-Productie normen'!A:J,VLOOKUP(L261,'3-Productie normen'!$B$33:$C$38,2,FALSE),FALSE)))/VLOOKUP(B261,'2-Kosten per locatie'!$A$12:$C$23,3,FALSE)</f>
        <v>0</v>
      </c>
      <c r="Q261" s="74">
        <f t="shared" si="22"/>
        <v>0</v>
      </c>
      <c r="R261" s="75" t="str">
        <f>VLOOKUP(H261,'3-Productie normen'!A:L,12,FALSE)</f>
        <v>S</v>
      </c>
      <c r="S261" s="75"/>
      <c r="U261" s="41">
        <f t="shared" si="23"/>
        <v>890</v>
      </c>
    </row>
    <row r="262" spans="1:21" ht="14.1" customHeight="1">
      <c r="A262" s="54">
        <f t="shared" si="24"/>
        <v>262</v>
      </c>
      <c r="B262" s="70" t="s">
        <v>416</v>
      </c>
      <c r="C262" s="70"/>
      <c r="D262" s="418" t="s">
        <v>417</v>
      </c>
      <c r="E262" s="418" t="s">
        <v>89</v>
      </c>
      <c r="F262" s="81">
        <v>11</v>
      </c>
      <c r="G262" s="81" t="s">
        <v>233</v>
      </c>
      <c r="H262" s="81" t="s">
        <v>233</v>
      </c>
      <c r="I262" s="81" t="s">
        <v>225</v>
      </c>
      <c r="J262" s="461">
        <v>46.52</v>
      </c>
      <c r="K262" s="371">
        <f t="shared" si="19"/>
        <v>200</v>
      </c>
      <c r="L262" s="72">
        <v>200</v>
      </c>
      <c r="M262" s="72"/>
      <c r="N262" s="73" t="e">
        <f t="shared" si="20"/>
        <v>#DIV/0!</v>
      </c>
      <c r="O262" s="73">
        <f t="shared" si="21"/>
        <v>0</v>
      </c>
      <c r="P262" s="74">
        <f>IF(L262="nio",0,IF(L262&gt;0,VLOOKUP(H262,'3-Productie normen'!A:J,VLOOKUP(L262,'3-Productie normen'!$B$33:$C$38,2,FALSE),FALSE)))/VLOOKUP(B262,'2-Kosten per locatie'!$A$12:$C$23,3,FALSE)</f>
        <v>0</v>
      </c>
      <c r="Q262" s="74">
        <f t="shared" si="22"/>
        <v>0</v>
      </c>
      <c r="R262" s="75" t="str">
        <f>VLOOKUP(H262,'3-Productie normen'!A:L,12,FALSE)</f>
        <v>L</v>
      </c>
      <c r="S262" s="75"/>
      <c r="U262" s="41">
        <f t="shared" si="23"/>
        <v>9304</v>
      </c>
    </row>
    <row r="263" spans="1:21" ht="14.1" customHeight="1">
      <c r="A263" s="54">
        <f t="shared" si="24"/>
        <v>263</v>
      </c>
      <c r="B263" s="70" t="s">
        <v>416</v>
      </c>
      <c r="C263" s="70"/>
      <c r="D263" s="418" t="s">
        <v>417</v>
      </c>
      <c r="E263" s="418" t="s">
        <v>89</v>
      </c>
      <c r="F263" s="81">
        <v>12</v>
      </c>
      <c r="G263" s="81" t="s">
        <v>17</v>
      </c>
      <c r="H263" s="81" t="s">
        <v>17</v>
      </c>
      <c r="I263" s="81" t="s">
        <v>250</v>
      </c>
      <c r="J263" s="461">
        <v>6.54</v>
      </c>
      <c r="K263" s="371">
        <f t="shared" si="19"/>
        <v>200</v>
      </c>
      <c r="L263" s="72">
        <v>200</v>
      </c>
      <c r="M263" s="72"/>
      <c r="N263" s="73" t="e">
        <f t="shared" si="20"/>
        <v>#DIV/0!</v>
      </c>
      <c r="O263" s="73">
        <f t="shared" si="21"/>
        <v>0</v>
      </c>
      <c r="P263" s="74">
        <f>IF(L263="nio",0,IF(L263&gt;0,VLOOKUP(H263,'3-Productie normen'!A:J,VLOOKUP(L263,'3-Productie normen'!$B$33:$C$38,2,FALSE),FALSE)))/VLOOKUP(B263,'2-Kosten per locatie'!$A$12:$C$23,3,FALSE)</f>
        <v>0</v>
      </c>
      <c r="Q263" s="74">
        <f t="shared" si="22"/>
        <v>0</v>
      </c>
      <c r="R263" s="75" t="str">
        <f>VLOOKUP(H263,'3-Productie normen'!A:L,12,FALSE)</f>
        <v>S</v>
      </c>
      <c r="S263" s="75"/>
      <c r="U263" s="41">
        <f t="shared" si="23"/>
        <v>1308</v>
      </c>
    </row>
    <row r="264" spans="1:21" ht="14.1" customHeight="1">
      <c r="A264" s="54">
        <f t="shared" si="24"/>
        <v>264</v>
      </c>
      <c r="B264" s="70" t="s">
        <v>416</v>
      </c>
      <c r="C264" s="70"/>
      <c r="D264" s="418" t="s">
        <v>417</v>
      </c>
      <c r="E264" s="418" t="s">
        <v>89</v>
      </c>
      <c r="F264" s="81">
        <v>13</v>
      </c>
      <c r="G264" s="81" t="s">
        <v>247</v>
      </c>
      <c r="H264" s="81" t="s">
        <v>90</v>
      </c>
      <c r="I264" s="81" t="s">
        <v>227</v>
      </c>
      <c r="J264" s="461">
        <v>2.36</v>
      </c>
      <c r="K264" s="371">
        <f t="shared" si="19"/>
        <v>200</v>
      </c>
      <c r="L264" s="72">
        <v>200</v>
      </c>
      <c r="M264" s="72"/>
      <c r="N264" s="73" t="e">
        <f t="shared" si="20"/>
        <v>#DIV/0!</v>
      </c>
      <c r="O264" s="73">
        <f t="shared" si="21"/>
        <v>0</v>
      </c>
      <c r="P264" s="74">
        <f>IF(L264="nio",0,IF(L264&gt;0,VLOOKUP(H264,'3-Productie normen'!A:J,VLOOKUP(L264,'3-Productie normen'!$B$33:$C$38,2,FALSE),FALSE)))/VLOOKUP(B264,'2-Kosten per locatie'!$A$12:$C$23,3,FALSE)</f>
        <v>0</v>
      </c>
      <c r="Q264" s="74">
        <f t="shared" si="22"/>
        <v>0</v>
      </c>
      <c r="R264" s="75" t="str">
        <f>VLOOKUP(H264,'3-Productie normen'!A:L,12,FALSE)</f>
        <v>V</v>
      </c>
      <c r="S264" s="75"/>
      <c r="U264" s="41">
        <f t="shared" si="23"/>
        <v>472</v>
      </c>
    </row>
    <row r="265" spans="1:21" ht="14.1" customHeight="1">
      <c r="A265" s="54">
        <f t="shared" si="24"/>
        <v>265</v>
      </c>
      <c r="B265" s="70" t="s">
        <v>416</v>
      </c>
      <c r="C265" s="70"/>
      <c r="D265" s="418" t="s">
        <v>417</v>
      </c>
      <c r="E265" s="418" t="s">
        <v>89</v>
      </c>
      <c r="F265" s="81">
        <v>14</v>
      </c>
      <c r="G265" s="81" t="s">
        <v>226</v>
      </c>
      <c r="H265" s="81" t="s">
        <v>226</v>
      </c>
      <c r="I265" s="81" t="s">
        <v>228</v>
      </c>
      <c r="J265" s="461">
        <v>10.07</v>
      </c>
      <c r="K265" s="371">
        <f t="shared" si="19"/>
        <v>200</v>
      </c>
      <c r="L265" s="72">
        <v>200</v>
      </c>
      <c r="M265" s="72"/>
      <c r="N265" s="73" t="e">
        <f t="shared" si="20"/>
        <v>#DIV/0!</v>
      </c>
      <c r="O265" s="73">
        <f t="shared" si="21"/>
        <v>0</v>
      </c>
      <c r="P265" s="74">
        <f>IF(L265="nio",0,IF(L265&gt;0,VLOOKUP(H265,'3-Productie normen'!A:J,VLOOKUP(L265,'3-Productie normen'!$B$33:$C$38,2,FALSE),FALSE)))/VLOOKUP(B265,'2-Kosten per locatie'!$A$12:$C$23,3,FALSE)</f>
        <v>0</v>
      </c>
      <c r="Q265" s="74">
        <f t="shared" si="22"/>
        <v>0</v>
      </c>
      <c r="R265" s="75" t="str">
        <f>VLOOKUP(H265,'3-Productie normen'!A:L,12,FALSE)</f>
        <v>V</v>
      </c>
      <c r="S265" s="75"/>
      <c r="U265" s="41">
        <f t="shared" si="23"/>
        <v>2014</v>
      </c>
    </row>
    <row r="266" spans="1:21" ht="14.1" customHeight="1">
      <c r="A266" s="54">
        <f t="shared" si="24"/>
        <v>266</v>
      </c>
      <c r="B266" s="70" t="s">
        <v>416</v>
      </c>
      <c r="C266" s="70"/>
      <c r="D266" s="418" t="s">
        <v>417</v>
      </c>
      <c r="E266" s="418" t="s">
        <v>89</v>
      </c>
      <c r="F266" s="81">
        <v>15</v>
      </c>
      <c r="G266" s="81" t="s">
        <v>233</v>
      </c>
      <c r="H266" s="81" t="s">
        <v>233</v>
      </c>
      <c r="I266" s="81" t="s">
        <v>225</v>
      </c>
      <c r="J266" s="461">
        <v>42.17</v>
      </c>
      <c r="K266" s="371">
        <f t="shared" ref="K266:K329" si="25">SUM(L266:M266)</f>
        <v>200</v>
      </c>
      <c r="L266" s="72">
        <v>200</v>
      </c>
      <c r="M266" s="72"/>
      <c r="N266" s="73" t="e">
        <f t="shared" ref="N266:N329" si="26">IF(L266="nio",0,IF(L266&gt;0,L266*J266/P266,0))</f>
        <v>#DIV/0!</v>
      </c>
      <c r="O266" s="73">
        <f t="shared" ref="O266:O329" si="27">IF(M266&gt;0,M266*J266/Q266,0)</f>
        <v>0</v>
      </c>
      <c r="P266" s="74">
        <f>IF(L266="nio",0,IF(L266&gt;0,VLOOKUP(H266,'3-Productie normen'!A:J,VLOOKUP(L266,'3-Productie normen'!$B$33:$C$38,2,FALSE),FALSE)))/VLOOKUP(B266,'2-Kosten per locatie'!$A$12:$C$23,3,FALSE)</f>
        <v>0</v>
      </c>
      <c r="Q266" s="74">
        <f t="shared" ref="Q266:Q329" si="28">IF(M266&gt;0,P266*$Q$8,0)</f>
        <v>0</v>
      </c>
      <c r="R266" s="75" t="str">
        <f>VLOOKUP(H266,'3-Productie normen'!A:L,12,FALSE)</f>
        <v>L</v>
      </c>
      <c r="S266" s="75"/>
      <c r="U266" s="41">
        <f t="shared" ref="U266:U329" si="29">K266*J266</f>
        <v>8434</v>
      </c>
    </row>
    <row r="267" spans="1:21" ht="14.1" customHeight="1">
      <c r="A267" s="54">
        <f t="shared" si="24"/>
        <v>267</v>
      </c>
      <c r="B267" s="70" t="s">
        <v>416</v>
      </c>
      <c r="C267" s="70"/>
      <c r="D267" s="418" t="s">
        <v>417</v>
      </c>
      <c r="E267" s="418">
        <v>1</v>
      </c>
      <c r="F267" s="81">
        <v>16</v>
      </c>
      <c r="G267" s="81" t="s">
        <v>226</v>
      </c>
      <c r="H267" s="81" t="s">
        <v>226</v>
      </c>
      <c r="I267" s="81" t="s">
        <v>228</v>
      </c>
      <c r="J267" s="461">
        <v>2</v>
      </c>
      <c r="K267" s="371">
        <f t="shared" si="25"/>
        <v>200</v>
      </c>
      <c r="L267" s="72">
        <v>200</v>
      </c>
      <c r="M267" s="72"/>
      <c r="N267" s="73" t="e">
        <f t="shared" si="26"/>
        <v>#DIV/0!</v>
      </c>
      <c r="O267" s="73">
        <f t="shared" si="27"/>
        <v>0</v>
      </c>
      <c r="P267" s="74">
        <f>IF(L267="nio",0,IF(L267&gt;0,VLOOKUP(H267,'3-Productie normen'!A:J,VLOOKUP(L267,'3-Productie normen'!$B$33:$C$38,2,FALSE),FALSE)))/VLOOKUP(B267,'2-Kosten per locatie'!$A$12:$C$23,3,FALSE)</f>
        <v>0</v>
      </c>
      <c r="Q267" s="74">
        <f t="shared" si="28"/>
        <v>0</v>
      </c>
      <c r="R267" s="75" t="str">
        <f>VLOOKUP(H267,'3-Productie normen'!A:L,12,FALSE)</f>
        <v>V</v>
      </c>
      <c r="S267" s="75"/>
      <c r="U267" s="41">
        <f t="shared" si="29"/>
        <v>400</v>
      </c>
    </row>
    <row r="268" spans="1:21" ht="14.1" customHeight="1">
      <c r="A268" s="54">
        <f t="shared" si="24"/>
        <v>268</v>
      </c>
      <c r="B268" s="70" t="s">
        <v>416</v>
      </c>
      <c r="C268" s="70"/>
      <c r="D268" s="418" t="s">
        <v>417</v>
      </c>
      <c r="E268" s="418">
        <v>1</v>
      </c>
      <c r="F268" s="81">
        <v>17</v>
      </c>
      <c r="G268" s="81" t="s">
        <v>248</v>
      </c>
      <c r="H268" s="81" t="s">
        <v>232</v>
      </c>
      <c r="I268" s="81" t="s">
        <v>225</v>
      </c>
      <c r="J268" s="461">
        <v>183.05</v>
      </c>
      <c r="K268" s="371">
        <f t="shared" si="25"/>
        <v>200</v>
      </c>
      <c r="L268" s="72">
        <v>200</v>
      </c>
      <c r="M268" s="72"/>
      <c r="N268" s="73" t="e">
        <f t="shared" si="26"/>
        <v>#DIV/0!</v>
      </c>
      <c r="O268" s="73">
        <f t="shared" si="27"/>
        <v>0</v>
      </c>
      <c r="P268" s="74">
        <f>IF(L268="nio",0,IF(L268&gt;0,VLOOKUP(H268,'3-Productie normen'!A:J,VLOOKUP(L268,'3-Productie normen'!$B$33:$C$38,2,FALSE),FALSE)))/VLOOKUP(B268,'2-Kosten per locatie'!$A$12:$C$23,3,FALSE)</f>
        <v>0</v>
      </c>
      <c r="Q268" s="74">
        <f t="shared" si="28"/>
        <v>0</v>
      </c>
      <c r="R268" s="75" t="str">
        <f>VLOOKUP(H268,'3-Productie normen'!A:L,12,FALSE)</f>
        <v>V</v>
      </c>
      <c r="S268" s="75"/>
      <c r="U268" s="41">
        <f t="shared" si="29"/>
        <v>36610</v>
      </c>
    </row>
    <row r="269" spans="1:21" ht="14.1" customHeight="1">
      <c r="A269" s="54">
        <f t="shared" si="24"/>
        <v>269</v>
      </c>
      <c r="B269" s="70" t="s">
        <v>416</v>
      </c>
      <c r="C269" s="70"/>
      <c r="D269" s="418" t="s">
        <v>417</v>
      </c>
      <c r="E269" s="418">
        <v>1</v>
      </c>
      <c r="F269" s="81">
        <v>18</v>
      </c>
      <c r="G269" s="81" t="s">
        <v>240</v>
      </c>
      <c r="H269" s="81" t="s">
        <v>240</v>
      </c>
      <c r="I269" s="81" t="s">
        <v>225</v>
      </c>
      <c r="J269" s="461">
        <v>44.82</v>
      </c>
      <c r="K269" s="371">
        <f t="shared" si="25"/>
        <v>200</v>
      </c>
      <c r="L269" s="72">
        <v>200</v>
      </c>
      <c r="M269" s="72"/>
      <c r="N269" s="73" t="e">
        <f t="shared" si="26"/>
        <v>#DIV/0!</v>
      </c>
      <c r="O269" s="73">
        <f t="shared" si="27"/>
        <v>0</v>
      </c>
      <c r="P269" s="74">
        <f>IF(L269="nio",0,IF(L269&gt;0,VLOOKUP(H269,'3-Productie normen'!A:J,VLOOKUP(L269,'3-Productie normen'!$B$33:$C$38,2,FALSE),FALSE)))/VLOOKUP(B269,'2-Kosten per locatie'!$A$12:$C$23,3,FALSE)</f>
        <v>0</v>
      </c>
      <c r="Q269" s="74">
        <f t="shared" si="28"/>
        <v>0</v>
      </c>
      <c r="R269" s="75" t="str">
        <f>VLOOKUP(H269,'3-Productie normen'!A:L,12,FALSE)</f>
        <v>V</v>
      </c>
      <c r="S269" s="75"/>
      <c r="U269" s="41">
        <f t="shared" si="29"/>
        <v>8964</v>
      </c>
    </row>
    <row r="270" spans="1:21" ht="14.1" customHeight="1">
      <c r="A270" s="54">
        <f t="shared" si="24"/>
        <v>270</v>
      </c>
      <c r="B270" s="70" t="s">
        <v>416</v>
      </c>
      <c r="C270" s="70"/>
      <c r="D270" s="418" t="s">
        <v>417</v>
      </c>
      <c r="E270" s="418">
        <v>1</v>
      </c>
      <c r="F270" s="81">
        <v>19</v>
      </c>
      <c r="G270" s="81" t="s">
        <v>233</v>
      </c>
      <c r="H270" s="81" t="s">
        <v>233</v>
      </c>
      <c r="I270" s="81" t="s">
        <v>225</v>
      </c>
      <c r="J270" s="461">
        <v>55.74</v>
      </c>
      <c r="K270" s="371">
        <f t="shared" si="25"/>
        <v>200</v>
      </c>
      <c r="L270" s="72">
        <v>200</v>
      </c>
      <c r="M270" s="72"/>
      <c r="N270" s="73" t="e">
        <f t="shared" si="26"/>
        <v>#DIV/0!</v>
      </c>
      <c r="O270" s="73">
        <f t="shared" si="27"/>
        <v>0</v>
      </c>
      <c r="P270" s="74">
        <f>IF(L270="nio",0,IF(L270&gt;0,VLOOKUP(H270,'3-Productie normen'!A:J,VLOOKUP(L270,'3-Productie normen'!$B$33:$C$38,2,FALSE),FALSE)))/VLOOKUP(B270,'2-Kosten per locatie'!$A$12:$C$23,3,FALSE)</f>
        <v>0</v>
      </c>
      <c r="Q270" s="74">
        <f t="shared" si="28"/>
        <v>0</v>
      </c>
      <c r="R270" s="75" t="str">
        <f>VLOOKUP(H270,'3-Productie normen'!A:L,12,FALSE)</f>
        <v>L</v>
      </c>
      <c r="S270" s="75"/>
      <c r="U270" s="41">
        <f t="shared" si="29"/>
        <v>11148</v>
      </c>
    </row>
    <row r="271" spans="1:21" ht="14.1" customHeight="1">
      <c r="A271" s="54">
        <f t="shared" si="24"/>
        <v>271</v>
      </c>
      <c r="B271" s="70" t="s">
        <v>416</v>
      </c>
      <c r="C271" s="70"/>
      <c r="D271" s="418" t="s">
        <v>417</v>
      </c>
      <c r="E271" s="418"/>
      <c r="F271" s="81">
        <v>20</v>
      </c>
      <c r="G271" s="81" t="s">
        <v>176</v>
      </c>
      <c r="H271" s="81" t="s">
        <v>176</v>
      </c>
      <c r="I271" s="81" t="s">
        <v>225</v>
      </c>
      <c r="J271" s="461">
        <v>13.95</v>
      </c>
      <c r="K271" s="371">
        <f t="shared" si="25"/>
        <v>200</v>
      </c>
      <c r="L271" s="72">
        <v>200</v>
      </c>
      <c r="M271" s="72"/>
      <c r="N271" s="73" t="e">
        <f t="shared" si="26"/>
        <v>#DIV/0!</v>
      </c>
      <c r="O271" s="73">
        <f t="shared" si="27"/>
        <v>0</v>
      </c>
      <c r="P271" s="74">
        <f>IF(L271="nio",0,IF(L271&gt;0,VLOOKUP(H271,'3-Productie normen'!A:J,VLOOKUP(L271,'3-Productie normen'!$B$33:$C$38,2,FALSE),FALSE)))/VLOOKUP(B271,'2-Kosten per locatie'!$A$12:$C$23,3,FALSE)</f>
        <v>0</v>
      </c>
      <c r="Q271" s="74">
        <f t="shared" si="28"/>
        <v>0</v>
      </c>
      <c r="R271" s="75" t="str">
        <f>VLOOKUP(H271,'3-Productie normen'!A:L,12,FALSE)</f>
        <v>B</v>
      </c>
      <c r="S271" s="75"/>
      <c r="U271" s="41">
        <f t="shared" si="29"/>
        <v>2790</v>
      </c>
    </row>
    <row r="272" spans="1:21" ht="14.1" customHeight="1">
      <c r="A272" s="54">
        <f t="shared" si="24"/>
        <v>272</v>
      </c>
      <c r="B272" s="70" t="s">
        <v>416</v>
      </c>
      <c r="C272" s="70"/>
      <c r="D272" s="418" t="s">
        <v>417</v>
      </c>
      <c r="E272" s="418">
        <v>1</v>
      </c>
      <c r="F272" s="81">
        <v>21</v>
      </c>
      <c r="G272" s="81" t="s">
        <v>176</v>
      </c>
      <c r="H272" s="81" t="s">
        <v>176</v>
      </c>
      <c r="I272" s="81" t="s">
        <v>225</v>
      </c>
      <c r="J272" s="461">
        <v>11.41</v>
      </c>
      <c r="K272" s="371">
        <f t="shared" si="25"/>
        <v>200</v>
      </c>
      <c r="L272" s="72">
        <v>200</v>
      </c>
      <c r="M272" s="72"/>
      <c r="N272" s="73" t="e">
        <f t="shared" si="26"/>
        <v>#DIV/0!</v>
      </c>
      <c r="O272" s="73">
        <f t="shared" si="27"/>
        <v>0</v>
      </c>
      <c r="P272" s="74">
        <f>IF(L272="nio",0,IF(L272&gt;0,VLOOKUP(H272,'3-Productie normen'!A:J,VLOOKUP(L272,'3-Productie normen'!$B$33:$C$38,2,FALSE),FALSE)))/VLOOKUP(B272,'2-Kosten per locatie'!$A$12:$C$23,3,FALSE)</f>
        <v>0</v>
      </c>
      <c r="Q272" s="74">
        <f t="shared" si="28"/>
        <v>0</v>
      </c>
      <c r="R272" s="75" t="str">
        <f>VLOOKUP(H272,'3-Productie normen'!A:L,12,FALSE)</f>
        <v>B</v>
      </c>
      <c r="S272" s="75"/>
      <c r="U272" s="41">
        <f t="shared" si="29"/>
        <v>2282</v>
      </c>
    </row>
    <row r="273" spans="1:21" ht="14.1" customHeight="1">
      <c r="A273" s="54">
        <f t="shared" si="24"/>
        <v>273</v>
      </c>
      <c r="B273" s="70" t="s">
        <v>416</v>
      </c>
      <c r="C273" s="70"/>
      <c r="D273" s="418" t="s">
        <v>417</v>
      </c>
      <c r="E273" s="418">
        <v>1</v>
      </c>
      <c r="F273" s="81">
        <v>22</v>
      </c>
      <c r="G273" s="81" t="s">
        <v>176</v>
      </c>
      <c r="H273" s="81" t="s">
        <v>176</v>
      </c>
      <c r="I273" s="81" t="s">
        <v>225</v>
      </c>
      <c r="J273" s="461">
        <v>10.57</v>
      </c>
      <c r="K273" s="371">
        <f t="shared" si="25"/>
        <v>200</v>
      </c>
      <c r="L273" s="72">
        <v>200</v>
      </c>
      <c r="M273" s="72"/>
      <c r="N273" s="73" t="e">
        <f t="shared" si="26"/>
        <v>#DIV/0!</v>
      </c>
      <c r="O273" s="73">
        <f t="shared" si="27"/>
        <v>0</v>
      </c>
      <c r="P273" s="74">
        <f>IF(L273="nio",0,IF(L273&gt;0,VLOOKUP(H273,'3-Productie normen'!A:J,VLOOKUP(L273,'3-Productie normen'!$B$33:$C$38,2,FALSE),FALSE)))/VLOOKUP(B273,'2-Kosten per locatie'!$A$12:$C$23,3,FALSE)</f>
        <v>0</v>
      </c>
      <c r="Q273" s="74">
        <f t="shared" si="28"/>
        <v>0</v>
      </c>
      <c r="R273" s="75" t="str">
        <f>VLOOKUP(H273,'3-Productie normen'!A:L,12,FALSE)</f>
        <v>B</v>
      </c>
      <c r="S273" s="75"/>
      <c r="U273" s="41">
        <f t="shared" si="29"/>
        <v>2114</v>
      </c>
    </row>
    <row r="274" spans="1:21" ht="14.1" customHeight="1">
      <c r="A274" s="54">
        <f t="shared" si="24"/>
        <v>274</v>
      </c>
      <c r="B274" s="70" t="s">
        <v>416</v>
      </c>
      <c r="C274" s="70"/>
      <c r="D274" s="418" t="s">
        <v>417</v>
      </c>
      <c r="E274" s="418">
        <v>1</v>
      </c>
      <c r="F274" s="81">
        <v>23</v>
      </c>
      <c r="G274" s="81" t="s">
        <v>176</v>
      </c>
      <c r="H274" s="81" t="s">
        <v>176</v>
      </c>
      <c r="I274" s="81" t="s">
        <v>225</v>
      </c>
      <c r="J274" s="461">
        <v>18.87</v>
      </c>
      <c r="K274" s="371">
        <f t="shared" si="25"/>
        <v>200</v>
      </c>
      <c r="L274" s="72">
        <v>200</v>
      </c>
      <c r="M274" s="72"/>
      <c r="N274" s="73" t="e">
        <f t="shared" si="26"/>
        <v>#DIV/0!</v>
      </c>
      <c r="O274" s="73">
        <f t="shared" si="27"/>
        <v>0</v>
      </c>
      <c r="P274" s="74">
        <f>IF(L274="nio",0,IF(L274&gt;0,VLOOKUP(H274,'3-Productie normen'!A:J,VLOOKUP(L274,'3-Productie normen'!$B$33:$C$38,2,FALSE),FALSE)))/VLOOKUP(B274,'2-Kosten per locatie'!$A$12:$C$23,3,FALSE)</f>
        <v>0</v>
      </c>
      <c r="Q274" s="74">
        <f t="shared" si="28"/>
        <v>0</v>
      </c>
      <c r="R274" s="75" t="str">
        <f>VLOOKUP(H274,'3-Productie normen'!A:L,12,FALSE)</f>
        <v>B</v>
      </c>
      <c r="S274" s="75"/>
      <c r="U274" s="41">
        <f t="shared" si="29"/>
        <v>3774</v>
      </c>
    </row>
    <row r="275" spans="1:21" ht="14.1" customHeight="1">
      <c r="A275" s="54">
        <f t="shared" si="24"/>
        <v>275</v>
      </c>
      <c r="B275" s="70" t="s">
        <v>416</v>
      </c>
      <c r="C275" s="70"/>
      <c r="D275" s="418" t="s">
        <v>417</v>
      </c>
      <c r="E275" s="418">
        <v>1</v>
      </c>
      <c r="F275" s="81">
        <v>24</v>
      </c>
      <c r="G275" s="81" t="s">
        <v>233</v>
      </c>
      <c r="H275" s="81" t="s">
        <v>233</v>
      </c>
      <c r="I275" s="81" t="s">
        <v>225</v>
      </c>
      <c r="J275" s="461">
        <v>53.36</v>
      </c>
      <c r="K275" s="371">
        <f t="shared" si="25"/>
        <v>200</v>
      </c>
      <c r="L275" s="72">
        <v>200</v>
      </c>
      <c r="M275" s="72"/>
      <c r="N275" s="73" t="e">
        <f t="shared" si="26"/>
        <v>#DIV/0!</v>
      </c>
      <c r="O275" s="73">
        <f t="shared" si="27"/>
        <v>0</v>
      </c>
      <c r="P275" s="74">
        <f>IF(L275="nio",0,IF(L275&gt;0,VLOOKUP(H275,'3-Productie normen'!A:J,VLOOKUP(L275,'3-Productie normen'!$B$33:$C$38,2,FALSE),FALSE)))/VLOOKUP(B275,'2-Kosten per locatie'!$A$12:$C$23,3,FALSE)</f>
        <v>0</v>
      </c>
      <c r="Q275" s="74">
        <f t="shared" si="28"/>
        <v>0</v>
      </c>
      <c r="R275" s="75" t="str">
        <f>VLOOKUP(H275,'3-Productie normen'!A:L,12,FALSE)</f>
        <v>L</v>
      </c>
      <c r="S275" s="75"/>
      <c r="U275" s="41">
        <f t="shared" si="29"/>
        <v>10672</v>
      </c>
    </row>
    <row r="276" spans="1:21" ht="14.1" customHeight="1">
      <c r="A276" s="54">
        <f t="shared" si="24"/>
        <v>276</v>
      </c>
      <c r="B276" s="70" t="s">
        <v>416</v>
      </c>
      <c r="C276" s="70"/>
      <c r="D276" s="418" t="s">
        <v>417</v>
      </c>
      <c r="E276" s="418">
        <v>1</v>
      </c>
      <c r="F276" s="81">
        <v>25</v>
      </c>
      <c r="G276" s="81" t="s">
        <v>418</v>
      </c>
      <c r="H276" s="81" t="s">
        <v>17</v>
      </c>
      <c r="I276" s="81" t="s">
        <v>250</v>
      </c>
      <c r="J276" s="461">
        <v>7.06</v>
      </c>
      <c r="K276" s="371">
        <f t="shared" si="25"/>
        <v>200</v>
      </c>
      <c r="L276" s="72">
        <v>200</v>
      </c>
      <c r="M276" s="72"/>
      <c r="N276" s="73" t="e">
        <f t="shared" si="26"/>
        <v>#DIV/0!</v>
      </c>
      <c r="O276" s="73">
        <f t="shared" si="27"/>
        <v>0</v>
      </c>
      <c r="P276" s="74">
        <f>IF(L276="nio",0,IF(L276&gt;0,VLOOKUP(H276,'3-Productie normen'!A:J,VLOOKUP(L276,'3-Productie normen'!$B$33:$C$38,2,FALSE),FALSE)))/VLOOKUP(B276,'2-Kosten per locatie'!$A$12:$C$23,3,FALSE)</f>
        <v>0</v>
      </c>
      <c r="Q276" s="74">
        <f t="shared" si="28"/>
        <v>0</v>
      </c>
      <c r="R276" s="75" t="str">
        <f>VLOOKUP(H276,'3-Productie normen'!A:L,12,FALSE)</f>
        <v>S</v>
      </c>
      <c r="S276" s="75"/>
      <c r="U276" s="41">
        <f t="shared" si="29"/>
        <v>1412</v>
      </c>
    </row>
    <row r="277" spans="1:21" ht="14.1" customHeight="1">
      <c r="A277" s="54">
        <f t="shared" si="24"/>
        <v>277</v>
      </c>
      <c r="B277" s="70" t="s">
        <v>416</v>
      </c>
      <c r="C277" s="70"/>
      <c r="D277" s="418" t="s">
        <v>417</v>
      </c>
      <c r="E277" s="418">
        <v>1</v>
      </c>
      <c r="F277" s="81">
        <v>26</v>
      </c>
      <c r="G277" s="81" t="s">
        <v>17</v>
      </c>
      <c r="H277" s="81" t="s">
        <v>17</v>
      </c>
      <c r="I277" s="81" t="s">
        <v>250</v>
      </c>
      <c r="J277" s="461">
        <v>7.06</v>
      </c>
      <c r="K277" s="371">
        <f t="shared" si="25"/>
        <v>200</v>
      </c>
      <c r="L277" s="72">
        <v>200</v>
      </c>
      <c r="M277" s="72"/>
      <c r="N277" s="73" t="e">
        <f t="shared" si="26"/>
        <v>#DIV/0!</v>
      </c>
      <c r="O277" s="73">
        <f t="shared" si="27"/>
        <v>0</v>
      </c>
      <c r="P277" s="74">
        <f>IF(L277="nio",0,IF(L277&gt;0,VLOOKUP(H277,'3-Productie normen'!A:J,VLOOKUP(L277,'3-Productie normen'!$B$33:$C$38,2,FALSE),FALSE)))/VLOOKUP(B277,'2-Kosten per locatie'!$A$12:$C$23,3,FALSE)</f>
        <v>0</v>
      </c>
      <c r="Q277" s="74">
        <f t="shared" si="28"/>
        <v>0</v>
      </c>
      <c r="R277" s="75" t="str">
        <f>VLOOKUP(H277,'3-Productie normen'!A:L,12,FALSE)</f>
        <v>S</v>
      </c>
      <c r="S277" s="75"/>
      <c r="U277" s="41">
        <f t="shared" si="29"/>
        <v>1412</v>
      </c>
    </row>
    <row r="278" spans="1:21" ht="14.1" customHeight="1">
      <c r="A278" s="54">
        <f t="shared" si="24"/>
        <v>278</v>
      </c>
      <c r="B278" s="70" t="s">
        <v>416</v>
      </c>
      <c r="C278" s="70"/>
      <c r="D278" s="418" t="s">
        <v>417</v>
      </c>
      <c r="E278" s="418">
        <v>1</v>
      </c>
      <c r="F278" s="81">
        <v>27</v>
      </c>
      <c r="G278" s="81" t="s">
        <v>233</v>
      </c>
      <c r="H278" s="81" t="s">
        <v>233</v>
      </c>
      <c r="I278" s="81" t="s">
        <v>225</v>
      </c>
      <c r="J278" s="461">
        <v>42</v>
      </c>
      <c r="K278" s="371">
        <f t="shared" si="25"/>
        <v>200</v>
      </c>
      <c r="L278" s="72">
        <v>200</v>
      </c>
      <c r="M278" s="72"/>
      <c r="N278" s="73" t="e">
        <f t="shared" si="26"/>
        <v>#DIV/0!</v>
      </c>
      <c r="O278" s="73">
        <f t="shared" si="27"/>
        <v>0</v>
      </c>
      <c r="P278" s="74">
        <f>IF(L278="nio",0,IF(L278&gt;0,VLOOKUP(H278,'3-Productie normen'!A:J,VLOOKUP(L278,'3-Productie normen'!$B$33:$C$38,2,FALSE),FALSE)))/VLOOKUP(B278,'2-Kosten per locatie'!$A$12:$C$23,3,FALSE)</f>
        <v>0</v>
      </c>
      <c r="Q278" s="74">
        <f t="shared" si="28"/>
        <v>0</v>
      </c>
      <c r="R278" s="75" t="str">
        <f>VLOOKUP(H278,'3-Productie normen'!A:L,12,FALSE)</f>
        <v>L</v>
      </c>
      <c r="S278" s="75"/>
      <c r="U278" s="41">
        <f t="shared" si="29"/>
        <v>8400</v>
      </c>
    </row>
    <row r="279" spans="1:21" ht="14.1" customHeight="1">
      <c r="A279" s="54">
        <f t="shared" si="24"/>
        <v>279</v>
      </c>
      <c r="B279" s="70" t="s">
        <v>416</v>
      </c>
      <c r="C279" s="70"/>
      <c r="D279" s="418" t="s">
        <v>417</v>
      </c>
      <c r="E279" s="418">
        <v>1</v>
      </c>
      <c r="F279" s="81">
        <v>28</v>
      </c>
      <c r="G279" s="81" t="s">
        <v>240</v>
      </c>
      <c r="H279" s="81" t="s">
        <v>240</v>
      </c>
      <c r="I279" s="81" t="s">
        <v>225</v>
      </c>
      <c r="J279" s="461">
        <v>42.21</v>
      </c>
      <c r="K279" s="371">
        <f t="shared" si="25"/>
        <v>200</v>
      </c>
      <c r="L279" s="72">
        <v>200</v>
      </c>
      <c r="M279" s="72"/>
      <c r="N279" s="73" t="e">
        <f t="shared" si="26"/>
        <v>#DIV/0!</v>
      </c>
      <c r="O279" s="73">
        <f t="shared" si="27"/>
        <v>0</v>
      </c>
      <c r="P279" s="74">
        <f>IF(L279="nio",0,IF(L279&gt;0,VLOOKUP(H279,'3-Productie normen'!A:J,VLOOKUP(L279,'3-Productie normen'!$B$33:$C$38,2,FALSE),FALSE)))/VLOOKUP(B279,'2-Kosten per locatie'!$A$12:$C$23,3,FALSE)</f>
        <v>0</v>
      </c>
      <c r="Q279" s="74">
        <f t="shared" si="28"/>
        <v>0</v>
      </c>
      <c r="R279" s="75" t="str">
        <f>VLOOKUP(H279,'3-Productie normen'!A:L,12,FALSE)</f>
        <v>V</v>
      </c>
      <c r="S279" s="75"/>
      <c r="U279" s="41">
        <f t="shared" si="29"/>
        <v>8442</v>
      </c>
    </row>
    <row r="280" spans="1:21" ht="14.1" customHeight="1">
      <c r="A280" s="54">
        <f t="shared" si="24"/>
        <v>280</v>
      </c>
      <c r="B280" s="70" t="s">
        <v>416</v>
      </c>
      <c r="C280" s="70"/>
      <c r="D280" s="418" t="s">
        <v>417</v>
      </c>
      <c r="E280" s="418">
        <v>1</v>
      </c>
      <c r="F280" s="81">
        <v>29</v>
      </c>
      <c r="G280" s="81" t="s">
        <v>240</v>
      </c>
      <c r="H280" s="81" t="s">
        <v>240</v>
      </c>
      <c r="I280" s="81" t="s">
        <v>225</v>
      </c>
      <c r="J280" s="461">
        <v>53.36</v>
      </c>
      <c r="K280" s="371">
        <f t="shared" si="25"/>
        <v>200</v>
      </c>
      <c r="L280" s="72">
        <v>200</v>
      </c>
      <c r="M280" s="72"/>
      <c r="N280" s="73" t="e">
        <f t="shared" si="26"/>
        <v>#DIV/0!</v>
      </c>
      <c r="O280" s="73">
        <f t="shared" si="27"/>
        <v>0</v>
      </c>
      <c r="P280" s="74">
        <f>IF(L280="nio",0,IF(L280&gt;0,VLOOKUP(H280,'3-Productie normen'!A:J,VLOOKUP(L280,'3-Productie normen'!$B$33:$C$38,2,FALSE),FALSE)))/VLOOKUP(B280,'2-Kosten per locatie'!$A$12:$C$23,3,FALSE)</f>
        <v>0</v>
      </c>
      <c r="Q280" s="74">
        <f t="shared" si="28"/>
        <v>0</v>
      </c>
      <c r="R280" s="75" t="str">
        <f>VLOOKUP(H280,'3-Productie normen'!A:L,12,FALSE)</f>
        <v>V</v>
      </c>
      <c r="S280" s="75"/>
      <c r="U280" s="41">
        <f t="shared" si="29"/>
        <v>10672</v>
      </c>
    </row>
    <row r="281" spans="1:21" ht="14.1" customHeight="1">
      <c r="A281" s="54">
        <f t="shared" si="24"/>
        <v>281</v>
      </c>
      <c r="B281" s="70" t="s">
        <v>416</v>
      </c>
      <c r="C281" s="70"/>
      <c r="D281" s="418" t="s">
        <v>417</v>
      </c>
      <c r="E281" s="418">
        <v>1</v>
      </c>
      <c r="F281" s="81">
        <v>30</v>
      </c>
      <c r="G281" s="81" t="s">
        <v>240</v>
      </c>
      <c r="H281" s="81" t="s">
        <v>240</v>
      </c>
      <c r="I281" s="81" t="s">
        <v>225</v>
      </c>
      <c r="J281" s="461">
        <v>55.88</v>
      </c>
      <c r="K281" s="371">
        <f t="shared" si="25"/>
        <v>200</v>
      </c>
      <c r="L281" s="72">
        <v>200</v>
      </c>
      <c r="M281" s="72"/>
      <c r="N281" s="73" t="e">
        <f t="shared" si="26"/>
        <v>#DIV/0!</v>
      </c>
      <c r="O281" s="73">
        <f t="shared" si="27"/>
        <v>0</v>
      </c>
      <c r="P281" s="74">
        <f>IF(L281="nio",0,IF(L281&gt;0,VLOOKUP(H281,'3-Productie normen'!A:J,VLOOKUP(L281,'3-Productie normen'!$B$33:$C$38,2,FALSE),FALSE)))/VLOOKUP(B281,'2-Kosten per locatie'!$A$12:$C$23,3,FALSE)</f>
        <v>0</v>
      </c>
      <c r="Q281" s="74">
        <f t="shared" si="28"/>
        <v>0</v>
      </c>
      <c r="R281" s="75" t="str">
        <f>VLOOKUP(H281,'3-Productie normen'!A:L,12,FALSE)</f>
        <v>V</v>
      </c>
      <c r="S281" s="75"/>
      <c r="U281" s="41">
        <f t="shared" si="29"/>
        <v>11176</v>
      </c>
    </row>
    <row r="282" spans="1:21" ht="14.1" customHeight="1">
      <c r="A282" s="54">
        <f t="shared" si="24"/>
        <v>282</v>
      </c>
      <c r="B282" s="70" t="s">
        <v>416</v>
      </c>
      <c r="C282" s="70"/>
      <c r="D282" s="418" t="s">
        <v>417</v>
      </c>
      <c r="E282" s="418">
        <v>1</v>
      </c>
      <c r="F282" s="81">
        <v>31</v>
      </c>
      <c r="G282" s="81" t="s">
        <v>240</v>
      </c>
      <c r="H282" s="81" t="s">
        <v>240</v>
      </c>
      <c r="I282" s="81" t="s">
        <v>225</v>
      </c>
      <c r="J282" s="461">
        <v>47.59</v>
      </c>
      <c r="K282" s="371">
        <f t="shared" si="25"/>
        <v>200</v>
      </c>
      <c r="L282" s="72">
        <v>200</v>
      </c>
      <c r="M282" s="72"/>
      <c r="N282" s="73" t="e">
        <f t="shared" si="26"/>
        <v>#DIV/0!</v>
      </c>
      <c r="O282" s="73">
        <f t="shared" si="27"/>
        <v>0</v>
      </c>
      <c r="P282" s="74">
        <f>IF(L282="nio",0,IF(L282&gt;0,VLOOKUP(H282,'3-Productie normen'!A:J,VLOOKUP(L282,'3-Productie normen'!$B$33:$C$38,2,FALSE),FALSE)))/VLOOKUP(B282,'2-Kosten per locatie'!$A$12:$C$23,3,FALSE)</f>
        <v>0</v>
      </c>
      <c r="Q282" s="74">
        <f t="shared" si="28"/>
        <v>0</v>
      </c>
      <c r="R282" s="75" t="str">
        <f>VLOOKUP(H282,'3-Productie normen'!A:L,12,FALSE)</f>
        <v>V</v>
      </c>
      <c r="S282" s="75"/>
      <c r="U282" s="41">
        <f t="shared" si="29"/>
        <v>9518</v>
      </c>
    </row>
    <row r="283" spans="1:21" ht="14.1" customHeight="1">
      <c r="A283" s="54">
        <f t="shared" si="24"/>
        <v>283</v>
      </c>
      <c r="B283" s="70" t="s">
        <v>416</v>
      </c>
      <c r="C283" s="70"/>
      <c r="D283" s="418" t="s">
        <v>417</v>
      </c>
      <c r="E283" s="418" t="s">
        <v>89</v>
      </c>
      <c r="F283" s="81">
        <v>32</v>
      </c>
      <c r="G283" s="81" t="s">
        <v>240</v>
      </c>
      <c r="H283" s="81" t="s">
        <v>240</v>
      </c>
      <c r="I283" s="81" t="s">
        <v>225</v>
      </c>
      <c r="J283" s="461">
        <v>32</v>
      </c>
      <c r="K283" s="371">
        <f t="shared" si="25"/>
        <v>200</v>
      </c>
      <c r="L283" s="72">
        <v>200</v>
      </c>
      <c r="M283" s="72"/>
      <c r="N283" s="73" t="e">
        <f t="shared" si="26"/>
        <v>#DIV/0!</v>
      </c>
      <c r="O283" s="73">
        <f t="shared" si="27"/>
        <v>0</v>
      </c>
      <c r="P283" s="74">
        <f>IF(L283="nio",0,IF(L283&gt;0,VLOOKUP(H283,'3-Productie normen'!A:J,VLOOKUP(L283,'3-Productie normen'!$B$33:$C$38,2,FALSE),FALSE)))/VLOOKUP(B283,'2-Kosten per locatie'!$A$12:$C$23,3,FALSE)</f>
        <v>0</v>
      </c>
      <c r="Q283" s="74">
        <f t="shared" si="28"/>
        <v>0</v>
      </c>
      <c r="R283" s="75" t="str">
        <f>VLOOKUP(H283,'3-Productie normen'!A:L,12,FALSE)</f>
        <v>V</v>
      </c>
      <c r="S283" s="75"/>
      <c r="U283" s="41">
        <f t="shared" si="29"/>
        <v>6400</v>
      </c>
    </row>
    <row r="284" spans="1:21" ht="14.1" customHeight="1">
      <c r="A284" s="54">
        <f t="shared" si="24"/>
        <v>284</v>
      </c>
      <c r="B284" s="70" t="s">
        <v>416</v>
      </c>
      <c r="C284" s="70"/>
      <c r="D284" s="418" t="s">
        <v>417</v>
      </c>
      <c r="E284" s="418">
        <v>1</v>
      </c>
      <c r="F284" s="81">
        <v>33</v>
      </c>
      <c r="G284" s="81" t="s">
        <v>226</v>
      </c>
      <c r="H284" s="81" t="s">
        <v>226</v>
      </c>
      <c r="I284" s="81" t="s">
        <v>228</v>
      </c>
      <c r="J284" s="461">
        <v>10.93</v>
      </c>
      <c r="K284" s="371">
        <f t="shared" si="25"/>
        <v>200</v>
      </c>
      <c r="L284" s="72">
        <v>200</v>
      </c>
      <c r="M284" s="72"/>
      <c r="N284" s="73" t="e">
        <f t="shared" si="26"/>
        <v>#DIV/0!</v>
      </c>
      <c r="O284" s="73">
        <f t="shared" si="27"/>
        <v>0</v>
      </c>
      <c r="P284" s="74">
        <f>IF(L284="nio",0,IF(L284&gt;0,VLOOKUP(H284,'3-Productie normen'!A:J,VLOOKUP(L284,'3-Productie normen'!$B$33:$C$38,2,FALSE),FALSE)))/VLOOKUP(B284,'2-Kosten per locatie'!$A$12:$C$23,3,FALSE)</f>
        <v>0</v>
      </c>
      <c r="Q284" s="74">
        <f t="shared" si="28"/>
        <v>0</v>
      </c>
      <c r="R284" s="75" t="str">
        <f>VLOOKUP(H284,'3-Productie normen'!A:L,12,FALSE)</f>
        <v>V</v>
      </c>
      <c r="S284" s="75"/>
      <c r="U284" s="41">
        <f t="shared" si="29"/>
        <v>2186</v>
      </c>
    </row>
    <row r="285" spans="1:21" ht="14.1" customHeight="1">
      <c r="A285" s="54">
        <f t="shared" si="24"/>
        <v>285</v>
      </c>
      <c r="B285" s="70" t="s">
        <v>416</v>
      </c>
      <c r="C285" s="70"/>
      <c r="D285" s="418" t="s">
        <v>417</v>
      </c>
      <c r="E285" s="418">
        <v>1</v>
      </c>
      <c r="F285" s="81">
        <v>34</v>
      </c>
      <c r="G285" s="81" t="s">
        <v>17</v>
      </c>
      <c r="H285" s="81" t="s">
        <v>17</v>
      </c>
      <c r="I285" s="81" t="s">
        <v>250</v>
      </c>
      <c r="J285" s="461">
        <v>19.59</v>
      </c>
      <c r="K285" s="371">
        <f t="shared" si="25"/>
        <v>200</v>
      </c>
      <c r="L285" s="72">
        <v>200</v>
      </c>
      <c r="M285" s="72"/>
      <c r="N285" s="73" t="e">
        <f t="shared" si="26"/>
        <v>#DIV/0!</v>
      </c>
      <c r="O285" s="73">
        <f t="shared" si="27"/>
        <v>0</v>
      </c>
      <c r="P285" s="74">
        <f>IF(L285="nio",0,IF(L285&gt;0,VLOOKUP(H285,'3-Productie normen'!A:J,VLOOKUP(L285,'3-Productie normen'!$B$33:$C$38,2,FALSE),FALSE)))/VLOOKUP(B285,'2-Kosten per locatie'!$A$12:$C$23,3,FALSE)</f>
        <v>0</v>
      </c>
      <c r="Q285" s="74">
        <f t="shared" si="28"/>
        <v>0</v>
      </c>
      <c r="R285" s="75" t="str">
        <f>VLOOKUP(H285,'3-Productie normen'!A:L,12,FALSE)</f>
        <v>S</v>
      </c>
      <c r="S285" s="75"/>
      <c r="U285" s="41">
        <f t="shared" si="29"/>
        <v>3918</v>
      </c>
    </row>
    <row r="286" spans="1:21" ht="14.1" customHeight="1">
      <c r="A286" s="54">
        <f t="shared" si="24"/>
        <v>286</v>
      </c>
      <c r="B286" s="70" t="s">
        <v>416</v>
      </c>
      <c r="C286" s="70"/>
      <c r="D286" s="418" t="s">
        <v>417</v>
      </c>
      <c r="E286" s="418">
        <v>1</v>
      </c>
      <c r="F286" s="81">
        <v>35</v>
      </c>
      <c r="G286" s="81" t="s">
        <v>240</v>
      </c>
      <c r="H286" s="81" t="s">
        <v>240</v>
      </c>
      <c r="I286" s="81" t="s">
        <v>225</v>
      </c>
      <c r="J286" s="461">
        <v>49.53</v>
      </c>
      <c r="K286" s="371">
        <f t="shared" si="25"/>
        <v>200</v>
      </c>
      <c r="L286" s="72">
        <v>200</v>
      </c>
      <c r="M286" s="72"/>
      <c r="N286" s="73" t="e">
        <f t="shared" si="26"/>
        <v>#DIV/0!</v>
      </c>
      <c r="O286" s="73">
        <f t="shared" si="27"/>
        <v>0</v>
      </c>
      <c r="P286" s="74">
        <f>IF(L286="nio",0,IF(L286&gt;0,VLOOKUP(H286,'3-Productie normen'!A:J,VLOOKUP(L286,'3-Productie normen'!$B$33:$C$38,2,FALSE),FALSE)))/VLOOKUP(B286,'2-Kosten per locatie'!$A$12:$C$23,3,FALSE)</f>
        <v>0</v>
      </c>
      <c r="Q286" s="74">
        <f t="shared" si="28"/>
        <v>0</v>
      </c>
      <c r="R286" s="75" t="str">
        <f>VLOOKUP(H286,'3-Productie normen'!A:L,12,FALSE)</f>
        <v>V</v>
      </c>
      <c r="S286" s="75"/>
      <c r="U286" s="41">
        <f t="shared" si="29"/>
        <v>9906</v>
      </c>
    </row>
    <row r="287" spans="1:21" ht="14.1" customHeight="1">
      <c r="A287" s="54">
        <f t="shared" si="24"/>
        <v>287</v>
      </c>
      <c r="B287" s="70" t="s">
        <v>419</v>
      </c>
      <c r="C287" s="70"/>
      <c r="D287" s="418" t="s">
        <v>420</v>
      </c>
      <c r="E287" s="418" t="s">
        <v>89</v>
      </c>
      <c r="F287" s="81">
        <v>1</v>
      </c>
      <c r="G287" s="81" t="s">
        <v>247</v>
      </c>
      <c r="H287" s="81" t="s">
        <v>90</v>
      </c>
      <c r="I287" s="81" t="s">
        <v>227</v>
      </c>
      <c r="J287" s="461">
        <v>7.24</v>
      </c>
      <c r="K287" s="371">
        <f t="shared" si="25"/>
        <v>200</v>
      </c>
      <c r="L287" s="72">
        <v>200</v>
      </c>
      <c r="M287" s="72"/>
      <c r="N287" s="73" t="e">
        <f t="shared" si="26"/>
        <v>#DIV/0!</v>
      </c>
      <c r="O287" s="73">
        <f t="shared" si="27"/>
        <v>0</v>
      </c>
      <c r="P287" s="74">
        <f>IF(L287="nio",0,IF(L287&gt;0,VLOOKUP(H287,'3-Productie normen'!A:J,VLOOKUP(L287,'3-Productie normen'!$B$33:$C$38,2,FALSE),FALSE)))/VLOOKUP(B287,'2-Kosten per locatie'!$A$12:$C$23,3,FALSE)</f>
        <v>0</v>
      </c>
      <c r="Q287" s="74">
        <f t="shared" si="28"/>
        <v>0</v>
      </c>
      <c r="R287" s="75" t="str">
        <f>VLOOKUP(H287,'3-Productie normen'!A:L,12,FALSE)</f>
        <v>V</v>
      </c>
      <c r="S287" s="75"/>
      <c r="U287" s="41">
        <f t="shared" si="29"/>
        <v>1448</v>
      </c>
    </row>
    <row r="288" spans="1:21" ht="14.1" customHeight="1">
      <c r="A288" s="54">
        <f t="shared" si="24"/>
        <v>288</v>
      </c>
      <c r="B288" s="70" t="s">
        <v>419</v>
      </c>
      <c r="C288" s="70"/>
      <c r="D288" s="418" t="s">
        <v>420</v>
      </c>
      <c r="E288" s="418" t="s">
        <v>89</v>
      </c>
      <c r="F288" s="81">
        <v>2</v>
      </c>
      <c r="G288" s="81" t="s">
        <v>248</v>
      </c>
      <c r="H288" s="81" t="s">
        <v>232</v>
      </c>
      <c r="I288" s="81" t="s">
        <v>245</v>
      </c>
      <c r="J288" s="461">
        <v>35.19</v>
      </c>
      <c r="K288" s="371">
        <f t="shared" si="25"/>
        <v>200</v>
      </c>
      <c r="L288" s="72">
        <v>200</v>
      </c>
      <c r="M288" s="72"/>
      <c r="N288" s="73" t="e">
        <f t="shared" si="26"/>
        <v>#DIV/0!</v>
      </c>
      <c r="O288" s="73">
        <f t="shared" si="27"/>
        <v>0</v>
      </c>
      <c r="P288" s="74">
        <f>IF(L288="nio",0,IF(L288&gt;0,VLOOKUP(H288,'3-Productie normen'!A:J,VLOOKUP(L288,'3-Productie normen'!$B$33:$C$38,2,FALSE),FALSE)))/VLOOKUP(B288,'2-Kosten per locatie'!$A$12:$C$23,3,FALSE)</f>
        <v>0</v>
      </c>
      <c r="Q288" s="74">
        <f t="shared" si="28"/>
        <v>0</v>
      </c>
      <c r="R288" s="75" t="str">
        <f>VLOOKUP(H288,'3-Productie normen'!A:L,12,FALSE)</f>
        <v>V</v>
      </c>
      <c r="S288" s="75"/>
      <c r="U288" s="41">
        <f t="shared" si="29"/>
        <v>7038</v>
      </c>
    </row>
    <row r="289" spans="1:21" ht="14.1" customHeight="1">
      <c r="A289" s="54">
        <f t="shared" si="24"/>
        <v>289</v>
      </c>
      <c r="B289" s="70" t="s">
        <v>419</v>
      </c>
      <c r="C289" s="70"/>
      <c r="D289" s="418" t="s">
        <v>420</v>
      </c>
      <c r="E289" s="418" t="s">
        <v>89</v>
      </c>
      <c r="F289" s="81">
        <v>3</v>
      </c>
      <c r="G289" s="81" t="s">
        <v>248</v>
      </c>
      <c r="H289" s="81" t="s">
        <v>232</v>
      </c>
      <c r="I289" s="81" t="s">
        <v>245</v>
      </c>
      <c r="J289" s="461">
        <v>22.07</v>
      </c>
      <c r="K289" s="371">
        <f t="shared" si="25"/>
        <v>200</v>
      </c>
      <c r="L289" s="72">
        <v>200</v>
      </c>
      <c r="M289" s="72"/>
      <c r="N289" s="73" t="e">
        <f t="shared" si="26"/>
        <v>#DIV/0!</v>
      </c>
      <c r="O289" s="73">
        <f t="shared" si="27"/>
        <v>0</v>
      </c>
      <c r="P289" s="74">
        <f>IF(L289="nio",0,IF(L289&gt;0,VLOOKUP(H289,'3-Productie normen'!A:J,VLOOKUP(L289,'3-Productie normen'!$B$33:$C$38,2,FALSE),FALSE)))/VLOOKUP(B289,'2-Kosten per locatie'!$A$12:$C$23,3,FALSE)</f>
        <v>0</v>
      </c>
      <c r="Q289" s="74">
        <f t="shared" si="28"/>
        <v>0</v>
      </c>
      <c r="R289" s="75" t="str">
        <f>VLOOKUP(H289,'3-Productie normen'!A:L,12,FALSE)</f>
        <v>V</v>
      </c>
      <c r="S289" s="75"/>
      <c r="U289" s="41">
        <f t="shared" si="29"/>
        <v>4414</v>
      </c>
    </row>
    <row r="290" spans="1:21" ht="14.1" customHeight="1">
      <c r="A290" s="54">
        <f t="shared" si="24"/>
        <v>290</v>
      </c>
      <c r="B290" s="70" t="s">
        <v>419</v>
      </c>
      <c r="C290" s="70"/>
      <c r="D290" s="418" t="s">
        <v>420</v>
      </c>
      <c r="E290" s="418" t="s">
        <v>89</v>
      </c>
      <c r="F290" s="81">
        <v>4</v>
      </c>
      <c r="G290" s="81" t="s">
        <v>248</v>
      </c>
      <c r="H290" s="81" t="s">
        <v>232</v>
      </c>
      <c r="I290" s="81" t="s">
        <v>245</v>
      </c>
      <c r="J290" s="461">
        <v>65.31</v>
      </c>
      <c r="K290" s="371">
        <f t="shared" si="25"/>
        <v>200</v>
      </c>
      <c r="L290" s="72">
        <v>200</v>
      </c>
      <c r="M290" s="72"/>
      <c r="N290" s="73" t="e">
        <f t="shared" si="26"/>
        <v>#DIV/0!</v>
      </c>
      <c r="O290" s="73">
        <f t="shared" si="27"/>
        <v>0</v>
      </c>
      <c r="P290" s="74">
        <f>IF(L290="nio",0,IF(L290&gt;0,VLOOKUP(H290,'3-Productie normen'!A:J,VLOOKUP(L290,'3-Productie normen'!$B$33:$C$38,2,FALSE),FALSE)))/VLOOKUP(B290,'2-Kosten per locatie'!$A$12:$C$23,3,FALSE)</f>
        <v>0</v>
      </c>
      <c r="Q290" s="74">
        <f t="shared" si="28"/>
        <v>0</v>
      </c>
      <c r="R290" s="75" t="str">
        <f>VLOOKUP(H290,'3-Productie normen'!A:L,12,FALSE)</f>
        <v>V</v>
      </c>
      <c r="S290" s="75"/>
      <c r="U290" s="41">
        <f t="shared" si="29"/>
        <v>13062</v>
      </c>
    </row>
    <row r="291" spans="1:21" ht="14.1" customHeight="1">
      <c r="A291" s="54">
        <f t="shared" si="24"/>
        <v>291</v>
      </c>
      <c r="B291" s="70" t="s">
        <v>419</v>
      </c>
      <c r="C291" s="70"/>
      <c r="D291" s="418" t="s">
        <v>420</v>
      </c>
      <c r="E291" s="418" t="s">
        <v>89</v>
      </c>
      <c r="F291" s="81">
        <v>5</v>
      </c>
      <c r="G291" s="81" t="s">
        <v>248</v>
      </c>
      <c r="H291" s="81" t="s">
        <v>232</v>
      </c>
      <c r="I291" s="81" t="s">
        <v>245</v>
      </c>
      <c r="J291" s="461">
        <v>28.91</v>
      </c>
      <c r="K291" s="371">
        <f t="shared" si="25"/>
        <v>200</v>
      </c>
      <c r="L291" s="72">
        <v>200</v>
      </c>
      <c r="M291" s="72"/>
      <c r="N291" s="73" t="e">
        <f t="shared" si="26"/>
        <v>#DIV/0!</v>
      </c>
      <c r="O291" s="73">
        <f t="shared" si="27"/>
        <v>0</v>
      </c>
      <c r="P291" s="74">
        <f>IF(L291="nio",0,IF(L291&gt;0,VLOOKUP(H291,'3-Productie normen'!A:J,VLOOKUP(L291,'3-Productie normen'!$B$33:$C$38,2,FALSE),FALSE)))/VLOOKUP(B291,'2-Kosten per locatie'!$A$12:$C$23,3,FALSE)</f>
        <v>0</v>
      </c>
      <c r="Q291" s="74">
        <f t="shared" si="28"/>
        <v>0</v>
      </c>
      <c r="R291" s="75" t="str">
        <f>VLOOKUP(H291,'3-Productie normen'!A:L,12,FALSE)</f>
        <v>V</v>
      </c>
      <c r="S291" s="75"/>
      <c r="U291" s="41">
        <f t="shared" si="29"/>
        <v>5782</v>
      </c>
    </row>
    <row r="292" spans="1:21" ht="14.1" customHeight="1">
      <c r="A292" s="54">
        <f t="shared" si="24"/>
        <v>292</v>
      </c>
      <c r="B292" s="70" t="s">
        <v>419</v>
      </c>
      <c r="C292" s="70"/>
      <c r="D292" s="418" t="s">
        <v>420</v>
      </c>
      <c r="E292" s="418" t="s">
        <v>89</v>
      </c>
      <c r="F292" s="81">
        <v>6</v>
      </c>
      <c r="G292" s="81" t="s">
        <v>176</v>
      </c>
      <c r="H292" s="81" t="s">
        <v>176</v>
      </c>
      <c r="I292" s="81" t="s">
        <v>225</v>
      </c>
      <c r="J292" s="461">
        <v>44.67</v>
      </c>
      <c r="K292" s="371">
        <f t="shared" si="25"/>
        <v>200</v>
      </c>
      <c r="L292" s="72">
        <v>200</v>
      </c>
      <c r="M292" s="72"/>
      <c r="N292" s="73" t="e">
        <f t="shared" si="26"/>
        <v>#DIV/0!</v>
      </c>
      <c r="O292" s="73">
        <f t="shared" si="27"/>
        <v>0</v>
      </c>
      <c r="P292" s="74">
        <f>IF(L292="nio",0,IF(L292&gt;0,VLOOKUP(H292,'3-Productie normen'!A:J,VLOOKUP(L292,'3-Productie normen'!$B$33:$C$38,2,FALSE),FALSE)))/VLOOKUP(B292,'2-Kosten per locatie'!$A$12:$C$23,3,FALSE)</f>
        <v>0</v>
      </c>
      <c r="Q292" s="74">
        <f t="shared" si="28"/>
        <v>0</v>
      </c>
      <c r="R292" s="75" t="str">
        <f>VLOOKUP(H292,'3-Productie normen'!A:L,12,FALSE)</f>
        <v>B</v>
      </c>
      <c r="S292" s="75"/>
      <c r="U292" s="41">
        <f t="shared" si="29"/>
        <v>8934</v>
      </c>
    </row>
    <row r="293" spans="1:21" ht="14.1" customHeight="1">
      <c r="A293" s="54">
        <f t="shared" si="24"/>
        <v>293</v>
      </c>
      <c r="B293" s="70" t="s">
        <v>419</v>
      </c>
      <c r="C293" s="70"/>
      <c r="D293" s="418" t="s">
        <v>420</v>
      </c>
      <c r="E293" s="418" t="s">
        <v>89</v>
      </c>
      <c r="F293" s="81">
        <v>7</v>
      </c>
      <c r="G293" s="81" t="s">
        <v>176</v>
      </c>
      <c r="H293" s="81" t="s">
        <v>176</v>
      </c>
      <c r="I293" s="81" t="s">
        <v>225</v>
      </c>
      <c r="J293" s="461">
        <v>15.34</v>
      </c>
      <c r="K293" s="371">
        <f t="shared" si="25"/>
        <v>200</v>
      </c>
      <c r="L293" s="72">
        <v>200</v>
      </c>
      <c r="M293" s="72"/>
      <c r="N293" s="73" t="e">
        <f t="shared" si="26"/>
        <v>#DIV/0!</v>
      </c>
      <c r="O293" s="73">
        <f t="shared" si="27"/>
        <v>0</v>
      </c>
      <c r="P293" s="74">
        <f>IF(L293="nio",0,IF(L293&gt;0,VLOOKUP(H293,'3-Productie normen'!A:J,VLOOKUP(L293,'3-Productie normen'!$B$33:$C$38,2,FALSE),FALSE)))/VLOOKUP(B293,'2-Kosten per locatie'!$A$12:$C$23,3,FALSE)</f>
        <v>0</v>
      </c>
      <c r="Q293" s="74">
        <f t="shared" si="28"/>
        <v>0</v>
      </c>
      <c r="R293" s="75" t="str">
        <f>VLOOKUP(H293,'3-Productie normen'!A:L,12,FALSE)</f>
        <v>B</v>
      </c>
      <c r="S293" s="75"/>
      <c r="U293" s="41">
        <f t="shared" si="29"/>
        <v>3068</v>
      </c>
    </row>
    <row r="294" spans="1:21" ht="14.1" customHeight="1">
      <c r="A294" s="54">
        <f t="shared" si="24"/>
        <v>294</v>
      </c>
      <c r="B294" s="70" t="s">
        <v>419</v>
      </c>
      <c r="C294" s="70"/>
      <c r="D294" s="418" t="s">
        <v>420</v>
      </c>
      <c r="E294" s="418" t="s">
        <v>89</v>
      </c>
      <c r="F294" s="81">
        <v>8</v>
      </c>
      <c r="G294" s="81" t="s">
        <v>176</v>
      </c>
      <c r="H294" s="81" t="s">
        <v>176</v>
      </c>
      <c r="I294" s="81" t="s">
        <v>225</v>
      </c>
      <c r="J294" s="461">
        <v>15.34</v>
      </c>
      <c r="K294" s="371">
        <f t="shared" si="25"/>
        <v>200</v>
      </c>
      <c r="L294" s="72">
        <v>200</v>
      </c>
      <c r="M294" s="72"/>
      <c r="N294" s="73" t="e">
        <f t="shared" si="26"/>
        <v>#DIV/0!</v>
      </c>
      <c r="O294" s="73">
        <f t="shared" si="27"/>
        <v>0</v>
      </c>
      <c r="P294" s="74">
        <f>IF(L294="nio",0,IF(L294&gt;0,VLOOKUP(H294,'3-Productie normen'!A:J,VLOOKUP(L294,'3-Productie normen'!$B$33:$C$38,2,FALSE),FALSE)))/VLOOKUP(B294,'2-Kosten per locatie'!$A$12:$C$23,3,FALSE)</f>
        <v>0</v>
      </c>
      <c r="Q294" s="74">
        <f t="shared" si="28"/>
        <v>0</v>
      </c>
      <c r="R294" s="75" t="str">
        <f>VLOOKUP(H294,'3-Productie normen'!A:L,12,FALSE)</f>
        <v>B</v>
      </c>
      <c r="S294" s="75"/>
      <c r="U294" s="41">
        <f t="shared" si="29"/>
        <v>3068</v>
      </c>
    </row>
    <row r="295" spans="1:21" ht="14.1" customHeight="1">
      <c r="A295" s="54">
        <f t="shared" si="24"/>
        <v>295</v>
      </c>
      <c r="B295" s="70" t="s">
        <v>419</v>
      </c>
      <c r="C295" s="70"/>
      <c r="D295" s="418" t="s">
        <v>420</v>
      </c>
      <c r="E295" s="418" t="s">
        <v>89</v>
      </c>
      <c r="F295" s="81">
        <v>9</v>
      </c>
      <c r="G295" s="81" t="s">
        <v>176</v>
      </c>
      <c r="H295" s="81" t="s">
        <v>176</v>
      </c>
      <c r="I295" s="81" t="s">
        <v>225</v>
      </c>
      <c r="J295" s="461">
        <v>15.34</v>
      </c>
      <c r="K295" s="371">
        <f t="shared" si="25"/>
        <v>200</v>
      </c>
      <c r="L295" s="72">
        <v>200</v>
      </c>
      <c r="M295" s="72"/>
      <c r="N295" s="73" t="e">
        <f t="shared" si="26"/>
        <v>#DIV/0!</v>
      </c>
      <c r="O295" s="73">
        <f t="shared" si="27"/>
        <v>0</v>
      </c>
      <c r="P295" s="74">
        <f>IF(L295="nio",0,IF(L295&gt;0,VLOOKUP(H295,'3-Productie normen'!A:J,VLOOKUP(L295,'3-Productie normen'!$B$33:$C$38,2,FALSE),FALSE)))/VLOOKUP(B295,'2-Kosten per locatie'!$A$12:$C$23,3,FALSE)</f>
        <v>0</v>
      </c>
      <c r="Q295" s="74">
        <f t="shared" si="28"/>
        <v>0</v>
      </c>
      <c r="R295" s="75" t="str">
        <f>VLOOKUP(H295,'3-Productie normen'!A:L,12,FALSE)</f>
        <v>B</v>
      </c>
      <c r="S295" s="75"/>
      <c r="U295" s="41">
        <f t="shared" si="29"/>
        <v>3068</v>
      </c>
    </row>
    <row r="296" spans="1:21" ht="14.1" customHeight="1">
      <c r="A296" s="54">
        <f t="shared" si="24"/>
        <v>296</v>
      </c>
      <c r="B296" s="70" t="s">
        <v>419</v>
      </c>
      <c r="C296" s="70"/>
      <c r="D296" s="418" t="s">
        <v>420</v>
      </c>
      <c r="E296" s="418" t="s">
        <v>89</v>
      </c>
      <c r="F296" s="81">
        <v>10</v>
      </c>
      <c r="G296" s="81" t="s">
        <v>176</v>
      </c>
      <c r="H296" s="81" t="s">
        <v>176</v>
      </c>
      <c r="I296" s="81" t="s">
        <v>225</v>
      </c>
      <c r="J296" s="461">
        <v>16.5</v>
      </c>
      <c r="K296" s="371">
        <f t="shared" si="25"/>
        <v>200</v>
      </c>
      <c r="L296" s="72">
        <v>200</v>
      </c>
      <c r="M296" s="72"/>
      <c r="N296" s="73" t="e">
        <f t="shared" si="26"/>
        <v>#DIV/0!</v>
      </c>
      <c r="O296" s="73">
        <f t="shared" si="27"/>
        <v>0</v>
      </c>
      <c r="P296" s="74">
        <f>IF(L296="nio",0,IF(L296&gt;0,VLOOKUP(H296,'3-Productie normen'!A:J,VLOOKUP(L296,'3-Productie normen'!$B$33:$C$38,2,FALSE),FALSE)))/VLOOKUP(B296,'2-Kosten per locatie'!$A$12:$C$23,3,FALSE)</f>
        <v>0</v>
      </c>
      <c r="Q296" s="74">
        <f t="shared" si="28"/>
        <v>0</v>
      </c>
      <c r="R296" s="75" t="str">
        <f>VLOOKUP(H296,'3-Productie normen'!A:L,12,FALSE)</f>
        <v>B</v>
      </c>
      <c r="S296" s="75"/>
      <c r="U296" s="41">
        <f t="shared" si="29"/>
        <v>3300</v>
      </c>
    </row>
    <row r="297" spans="1:21" ht="14.1" customHeight="1">
      <c r="A297" s="54">
        <f t="shared" si="24"/>
        <v>297</v>
      </c>
      <c r="B297" s="70" t="s">
        <v>419</v>
      </c>
      <c r="C297" s="70"/>
      <c r="D297" s="418" t="s">
        <v>420</v>
      </c>
      <c r="E297" s="418" t="s">
        <v>89</v>
      </c>
      <c r="F297" s="81">
        <v>11</v>
      </c>
      <c r="G297" s="81" t="s">
        <v>233</v>
      </c>
      <c r="H297" s="81" t="s">
        <v>233</v>
      </c>
      <c r="I297" s="81" t="s">
        <v>225</v>
      </c>
      <c r="J297" s="461">
        <v>56.55</v>
      </c>
      <c r="K297" s="371">
        <f t="shared" si="25"/>
        <v>200</v>
      </c>
      <c r="L297" s="72">
        <v>200</v>
      </c>
      <c r="M297" s="72"/>
      <c r="N297" s="73" t="e">
        <f t="shared" si="26"/>
        <v>#DIV/0!</v>
      </c>
      <c r="O297" s="73">
        <f t="shared" si="27"/>
        <v>0</v>
      </c>
      <c r="P297" s="74">
        <f>IF(L297="nio",0,IF(L297&gt;0,VLOOKUP(H297,'3-Productie normen'!A:J,VLOOKUP(L297,'3-Productie normen'!$B$33:$C$38,2,FALSE),FALSE)))/VLOOKUP(B297,'2-Kosten per locatie'!$A$12:$C$23,3,FALSE)</f>
        <v>0</v>
      </c>
      <c r="Q297" s="74">
        <f t="shared" si="28"/>
        <v>0</v>
      </c>
      <c r="R297" s="75" t="str">
        <f>VLOOKUP(H297,'3-Productie normen'!A:L,12,FALSE)</f>
        <v>L</v>
      </c>
      <c r="S297" s="75"/>
      <c r="U297" s="41">
        <f t="shared" si="29"/>
        <v>11310</v>
      </c>
    </row>
    <row r="298" spans="1:21" ht="14.1" customHeight="1">
      <c r="A298" s="54">
        <f t="shared" si="24"/>
        <v>298</v>
      </c>
      <c r="B298" s="70" t="s">
        <v>419</v>
      </c>
      <c r="C298" s="70"/>
      <c r="D298" s="418" t="s">
        <v>420</v>
      </c>
      <c r="E298" s="418" t="s">
        <v>89</v>
      </c>
      <c r="F298" s="81">
        <v>12</v>
      </c>
      <c r="G298" s="81" t="s">
        <v>17</v>
      </c>
      <c r="H298" s="81" t="s">
        <v>17</v>
      </c>
      <c r="I298" s="81" t="s">
        <v>250</v>
      </c>
      <c r="J298" s="461">
        <v>4.54</v>
      </c>
      <c r="K298" s="371">
        <f t="shared" si="25"/>
        <v>200</v>
      </c>
      <c r="L298" s="72">
        <v>200</v>
      </c>
      <c r="M298" s="72"/>
      <c r="N298" s="73" t="e">
        <f t="shared" si="26"/>
        <v>#DIV/0!</v>
      </c>
      <c r="O298" s="73">
        <f t="shared" si="27"/>
        <v>0</v>
      </c>
      <c r="P298" s="74">
        <f>IF(L298="nio",0,IF(L298&gt;0,VLOOKUP(H298,'3-Productie normen'!A:J,VLOOKUP(L298,'3-Productie normen'!$B$33:$C$38,2,FALSE),FALSE)))/VLOOKUP(B298,'2-Kosten per locatie'!$A$12:$C$23,3,FALSE)</f>
        <v>0</v>
      </c>
      <c r="Q298" s="74">
        <f t="shared" si="28"/>
        <v>0</v>
      </c>
      <c r="R298" s="75" t="str">
        <f>VLOOKUP(H298,'3-Productie normen'!A:L,12,FALSE)</f>
        <v>S</v>
      </c>
      <c r="S298" s="75"/>
      <c r="U298" s="41">
        <f t="shared" si="29"/>
        <v>908</v>
      </c>
    </row>
    <row r="299" spans="1:21" ht="14.1" customHeight="1">
      <c r="A299" s="54">
        <f t="shared" si="24"/>
        <v>299</v>
      </c>
      <c r="B299" s="70" t="s">
        <v>419</v>
      </c>
      <c r="C299" s="70"/>
      <c r="D299" s="418" t="s">
        <v>420</v>
      </c>
      <c r="E299" s="418" t="s">
        <v>89</v>
      </c>
      <c r="F299" s="81">
        <v>13</v>
      </c>
      <c r="G299" s="81" t="s">
        <v>17</v>
      </c>
      <c r="H299" s="81" t="s">
        <v>17</v>
      </c>
      <c r="I299" s="81" t="s">
        <v>250</v>
      </c>
      <c r="J299" s="461">
        <v>4.3099999999999996</v>
      </c>
      <c r="K299" s="371">
        <f t="shared" si="25"/>
        <v>200</v>
      </c>
      <c r="L299" s="72">
        <v>200</v>
      </c>
      <c r="M299" s="72"/>
      <c r="N299" s="73" t="e">
        <f t="shared" si="26"/>
        <v>#DIV/0!</v>
      </c>
      <c r="O299" s="73">
        <f t="shared" si="27"/>
        <v>0</v>
      </c>
      <c r="P299" s="74">
        <f>IF(L299="nio",0,IF(L299&gt;0,VLOOKUP(H299,'3-Productie normen'!A:J,VLOOKUP(L299,'3-Productie normen'!$B$33:$C$38,2,FALSE),FALSE)))/VLOOKUP(B299,'2-Kosten per locatie'!$A$12:$C$23,3,FALSE)</f>
        <v>0</v>
      </c>
      <c r="Q299" s="74">
        <f t="shared" si="28"/>
        <v>0</v>
      </c>
      <c r="R299" s="75" t="str">
        <f>VLOOKUP(H299,'3-Productie normen'!A:L,12,FALSE)</f>
        <v>S</v>
      </c>
      <c r="S299" s="75"/>
      <c r="U299" s="41">
        <f t="shared" si="29"/>
        <v>861.99999999999989</v>
      </c>
    </row>
    <row r="300" spans="1:21" ht="14.1" customHeight="1">
      <c r="A300" s="54">
        <f t="shared" si="24"/>
        <v>300</v>
      </c>
      <c r="B300" s="70" t="s">
        <v>419</v>
      </c>
      <c r="C300" s="70"/>
      <c r="D300" s="418" t="s">
        <v>420</v>
      </c>
      <c r="E300" s="418" t="s">
        <v>89</v>
      </c>
      <c r="F300" s="81">
        <v>14</v>
      </c>
      <c r="G300" s="81" t="s">
        <v>248</v>
      </c>
      <c r="H300" s="81" t="s">
        <v>232</v>
      </c>
      <c r="I300" s="81" t="s">
        <v>245</v>
      </c>
      <c r="J300" s="461">
        <v>19.670000000000002</v>
      </c>
      <c r="K300" s="371">
        <f t="shared" si="25"/>
        <v>200</v>
      </c>
      <c r="L300" s="72">
        <v>200</v>
      </c>
      <c r="M300" s="72"/>
      <c r="N300" s="73" t="e">
        <f t="shared" si="26"/>
        <v>#DIV/0!</v>
      </c>
      <c r="O300" s="73">
        <f t="shared" si="27"/>
        <v>0</v>
      </c>
      <c r="P300" s="74">
        <f>IF(L300="nio",0,IF(L300&gt;0,VLOOKUP(H300,'3-Productie normen'!A:J,VLOOKUP(L300,'3-Productie normen'!$B$33:$C$38,2,FALSE),FALSE)))/VLOOKUP(B300,'2-Kosten per locatie'!$A$12:$C$23,3,FALSE)</f>
        <v>0</v>
      </c>
      <c r="Q300" s="74">
        <f t="shared" si="28"/>
        <v>0</v>
      </c>
      <c r="R300" s="75" t="str">
        <f>VLOOKUP(H300,'3-Productie normen'!A:L,12,FALSE)</f>
        <v>V</v>
      </c>
      <c r="S300" s="75"/>
      <c r="U300" s="41">
        <f t="shared" si="29"/>
        <v>3934.0000000000005</v>
      </c>
    </row>
    <row r="301" spans="1:21" ht="14.1" customHeight="1">
      <c r="A301" s="54">
        <f t="shared" si="24"/>
        <v>301</v>
      </c>
      <c r="B301" s="70" t="s">
        <v>419</v>
      </c>
      <c r="C301" s="70"/>
      <c r="D301" s="418" t="s">
        <v>420</v>
      </c>
      <c r="E301" s="418" t="s">
        <v>89</v>
      </c>
      <c r="F301" s="81">
        <v>15</v>
      </c>
      <c r="G301" s="81" t="s">
        <v>233</v>
      </c>
      <c r="H301" s="81" t="s">
        <v>233</v>
      </c>
      <c r="I301" s="81" t="s">
        <v>225</v>
      </c>
      <c r="J301" s="461">
        <v>63.09</v>
      </c>
      <c r="K301" s="371">
        <f t="shared" si="25"/>
        <v>200</v>
      </c>
      <c r="L301" s="72">
        <v>200</v>
      </c>
      <c r="M301" s="72"/>
      <c r="N301" s="73" t="e">
        <f t="shared" si="26"/>
        <v>#DIV/0!</v>
      </c>
      <c r="O301" s="73">
        <f t="shared" si="27"/>
        <v>0</v>
      </c>
      <c r="P301" s="74">
        <f>IF(L301="nio",0,IF(L301&gt;0,VLOOKUP(H301,'3-Productie normen'!A:J,VLOOKUP(L301,'3-Productie normen'!$B$33:$C$38,2,FALSE),FALSE)))/VLOOKUP(B301,'2-Kosten per locatie'!$A$12:$C$23,3,FALSE)</f>
        <v>0</v>
      </c>
      <c r="Q301" s="74">
        <f t="shared" si="28"/>
        <v>0</v>
      </c>
      <c r="R301" s="75" t="str">
        <f>VLOOKUP(H301,'3-Productie normen'!A:L,12,FALSE)</f>
        <v>L</v>
      </c>
      <c r="S301" s="75"/>
      <c r="U301" s="41">
        <f t="shared" si="29"/>
        <v>12618</v>
      </c>
    </row>
    <row r="302" spans="1:21" ht="14.1" customHeight="1">
      <c r="A302" s="54">
        <f t="shared" si="24"/>
        <v>302</v>
      </c>
      <c r="B302" s="70" t="s">
        <v>419</v>
      </c>
      <c r="C302" s="70"/>
      <c r="D302" s="418" t="s">
        <v>420</v>
      </c>
      <c r="E302" s="418" t="s">
        <v>89</v>
      </c>
      <c r="F302" s="81">
        <v>16</v>
      </c>
      <c r="G302" s="81" t="s">
        <v>252</v>
      </c>
      <c r="H302" s="81" t="s">
        <v>101</v>
      </c>
      <c r="I302" s="81" t="s">
        <v>245</v>
      </c>
      <c r="J302" s="461">
        <v>6.86</v>
      </c>
      <c r="K302" s="371">
        <f t="shared" si="25"/>
        <v>0</v>
      </c>
      <c r="L302" s="72" t="s">
        <v>101</v>
      </c>
      <c r="M302" s="72"/>
      <c r="N302" s="73">
        <f t="shared" si="26"/>
        <v>0</v>
      </c>
      <c r="O302" s="73">
        <f t="shared" si="27"/>
        <v>0</v>
      </c>
      <c r="P302" s="74">
        <f>IF(L302="nio",0,IF(L302&gt;0,VLOOKUP(H302,'3-Productie normen'!A:J,VLOOKUP(L302,'3-Productie normen'!$B$33:$C$38,2,FALSE),FALSE)))/VLOOKUP(B302,'2-Kosten per locatie'!$A$12:$C$23,3,FALSE)</f>
        <v>0</v>
      </c>
      <c r="Q302" s="74">
        <f t="shared" si="28"/>
        <v>0</v>
      </c>
      <c r="R302" s="75">
        <f>VLOOKUP(H302,'3-Productie normen'!A:L,12,FALSE)</f>
        <v>0</v>
      </c>
      <c r="S302" s="75"/>
      <c r="U302" s="41">
        <f t="shared" si="29"/>
        <v>0</v>
      </c>
    </row>
    <row r="303" spans="1:21" ht="14.1" customHeight="1">
      <c r="A303" s="54">
        <f t="shared" si="24"/>
        <v>303</v>
      </c>
      <c r="B303" s="70" t="s">
        <v>419</v>
      </c>
      <c r="C303" s="70"/>
      <c r="D303" s="418" t="s">
        <v>420</v>
      </c>
      <c r="E303" s="418" t="s">
        <v>89</v>
      </c>
      <c r="F303" s="81">
        <v>17</v>
      </c>
      <c r="G303" s="81" t="s">
        <v>252</v>
      </c>
      <c r="H303" s="81" t="s">
        <v>101</v>
      </c>
      <c r="I303" s="81" t="s">
        <v>245</v>
      </c>
      <c r="J303" s="461">
        <v>7.8</v>
      </c>
      <c r="K303" s="371">
        <f t="shared" si="25"/>
        <v>0</v>
      </c>
      <c r="L303" s="72" t="s">
        <v>101</v>
      </c>
      <c r="M303" s="72"/>
      <c r="N303" s="73">
        <f t="shared" si="26"/>
        <v>0</v>
      </c>
      <c r="O303" s="73">
        <f t="shared" si="27"/>
        <v>0</v>
      </c>
      <c r="P303" s="74">
        <f>IF(L303="nio",0,IF(L303&gt;0,VLOOKUP(H303,'3-Productie normen'!A:J,VLOOKUP(L303,'3-Productie normen'!$B$33:$C$38,2,FALSE),FALSE)))/VLOOKUP(B303,'2-Kosten per locatie'!$A$12:$C$23,3,FALSE)</f>
        <v>0</v>
      </c>
      <c r="Q303" s="74">
        <f t="shared" si="28"/>
        <v>0</v>
      </c>
      <c r="R303" s="75">
        <f>VLOOKUP(H303,'3-Productie normen'!A:L,12,FALSE)</f>
        <v>0</v>
      </c>
      <c r="S303" s="75"/>
      <c r="U303" s="41">
        <f t="shared" si="29"/>
        <v>0</v>
      </c>
    </row>
    <row r="304" spans="1:21" ht="14.1" customHeight="1">
      <c r="A304" s="54">
        <f t="shared" si="24"/>
        <v>304</v>
      </c>
      <c r="B304" s="70" t="s">
        <v>419</v>
      </c>
      <c r="C304" s="70"/>
      <c r="D304" s="418" t="s">
        <v>420</v>
      </c>
      <c r="E304" s="418" t="s">
        <v>89</v>
      </c>
      <c r="F304" s="81">
        <v>18</v>
      </c>
      <c r="G304" s="81" t="s">
        <v>252</v>
      </c>
      <c r="H304" s="81" t="s">
        <v>101</v>
      </c>
      <c r="I304" s="81" t="s">
        <v>245</v>
      </c>
      <c r="J304" s="461">
        <v>1.87</v>
      </c>
      <c r="K304" s="371">
        <f t="shared" si="25"/>
        <v>0</v>
      </c>
      <c r="L304" s="72" t="s">
        <v>101</v>
      </c>
      <c r="M304" s="72"/>
      <c r="N304" s="73">
        <f t="shared" si="26"/>
        <v>0</v>
      </c>
      <c r="O304" s="73">
        <f t="shared" si="27"/>
        <v>0</v>
      </c>
      <c r="P304" s="74">
        <f>IF(L304="nio",0,IF(L304&gt;0,VLOOKUP(H304,'3-Productie normen'!A:J,VLOOKUP(L304,'3-Productie normen'!$B$33:$C$38,2,FALSE),FALSE)))/VLOOKUP(B304,'2-Kosten per locatie'!$A$12:$C$23,3,FALSE)</f>
        <v>0</v>
      </c>
      <c r="Q304" s="74">
        <f t="shared" si="28"/>
        <v>0</v>
      </c>
      <c r="R304" s="75">
        <f>VLOOKUP(H304,'3-Productie normen'!A:L,12,FALSE)</f>
        <v>0</v>
      </c>
      <c r="S304" s="75"/>
      <c r="U304" s="41">
        <f t="shared" si="29"/>
        <v>0</v>
      </c>
    </row>
    <row r="305" spans="1:21" ht="14.1" customHeight="1">
      <c r="A305" s="54">
        <f t="shared" si="24"/>
        <v>305</v>
      </c>
      <c r="B305" s="70" t="s">
        <v>419</v>
      </c>
      <c r="C305" s="70"/>
      <c r="D305" s="418" t="s">
        <v>420</v>
      </c>
      <c r="E305" s="418" t="s">
        <v>89</v>
      </c>
      <c r="F305" s="81">
        <v>19</v>
      </c>
      <c r="G305" s="81" t="s">
        <v>17</v>
      </c>
      <c r="H305" s="81" t="s">
        <v>17</v>
      </c>
      <c r="I305" s="81" t="s">
        <v>250</v>
      </c>
      <c r="J305" s="461">
        <v>6.93</v>
      </c>
      <c r="K305" s="371">
        <f t="shared" si="25"/>
        <v>200</v>
      </c>
      <c r="L305" s="72">
        <v>200</v>
      </c>
      <c r="M305" s="72"/>
      <c r="N305" s="73" t="e">
        <f t="shared" si="26"/>
        <v>#DIV/0!</v>
      </c>
      <c r="O305" s="73">
        <f t="shared" si="27"/>
        <v>0</v>
      </c>
      <c r="P305" s="74">
        <f>IF(L305="nio",0,IF(L305&gt;0,VLOOKUP(H305,'3-Productie normen'!A:J,VLOOKUP(L305,'3-Productie normen'!$B$33:$C$38,2,FALSE),FALSE)))/VLOOKUP(B305,'2-Kosten per locatie'!$A$12:$C$23,3,FALSE)</f>
        <v>0</v>
      </c>
      <c r="Q305" s="74">
        <f t="shared" si="28"/>
        <v>0</v>
      </c>
      <c r="R305" s="75" t="str">
        <f>VLOOKUP(H305,'3-Productie normen'!A:L,12,FALSE)</f>
        <v>S</v>
      </c>
      <c r="S305" s="75"/>
      <c r="U305" s="41">
        <f t="shared" si="29"/>
        <v>1386</v>
      </c>
    </row>
    <row r="306" spans="1:21" ht="14.1" customHeight="1">
      <c r="A306" s="54">
        <f t="shared" si="24"/>
        <v>306</v>
      </c>
      <c r="B306" s="70" t="s">
        <v>419</v>
      </c>
      <c r="C306" s="70"/>
      <c r="D306" s="418" t="s">
        <v>420</v>
      </c>
      <c r="E306" s="418" t="s">
        <v>89</v>
      </c>
      <c r="F306" s="81">
        <v>20</v>
      </c>
      <c r="G306" s="81" t="s">
        <v>233</v>
      </c>
      <c r="H306" s="81" t="s">
        <v>233</v>
      </c>
      <c r="I306" s="81" t="s">
        <v>225</v>
      </c>
      <c r="J306" s="461">
        <v>49.04</v>
      </c>
      <c r="K306" s="371">
        <f t="shared" si="25"/>
        <v>200</v>
      </c>
      <c r="L306" s="72">
        <v>200</v>
      </c>
      <c r="M306" s="72"/>
      <c r="N306" s="73" t="e">
        <f t="shared" si="26"/>
        <v>#DIV/0!</v>
      </c>
      <c r="O306" s="73">
        <f t="shared" si="27"/>
        <v>0</v>
      </c>
      <c r="P306" s="74">
        <f>IF(L306="nio",0,IF(L306&gt;0,VLOOKUP(H306,'3-Productie normen'!A:J,VLOOKUP(L306,'3-Productie normen'!$B$33:$C$38,2,FALSE),FALSE)))/VLOOKUP(B306,'2-Kosten per locatie'!$A$12:$C$23,3,FALSE)</f>
        <v>0</v>
      </c>
      <c r="Q306" s="74">
        <f t="shared" si="28"/>
        <v>0</v>
      </c>
      <c r="R306" s="75" t="str">
        <f>VLOOKUP(H306,'3-Productie normen'!A:L,12,FALSE)</f>
        <v>L</v>
      </c>
      <c r="S306" s="75"/>
      <c r="U306" s="41">
        <f t="shared" si="29"/>
        <v>9808</v>
      </c>
    </row>
    <row r="307" spans="1:21" ht="14.1" customHeight="1">
      <c r="A307" s="54">
        <f t="shared" si="24"/>
        <v>307</v>
      </c>
      <c r="B307" s="70" t="s">
        <v>419</v>
      </c>
      <c r="C307" s="70"/>
      <c r="D307" s="418" t="s">
        <v>420</v>
      </c>
      <c r="E307" s="418" t="s">
        <v>89</v>
      </c>
      <c r="F307" s="81">
        <v>21</v>
      </c>
      <c r="G307" s="81" t="s">
        <v>240</v>
      </c>
      <c r="H307" s="81" t="s">
        <v>240</v>
      </c>
      <c r="I307" s="81" t="s">
        <v>225</v>
      </c>
      <c r="J307" s="461">
        <v>57.59</v>
      </c>
      <c r="K307" s="371">
        <f t="shared" si="25"/>
        <v>200</v>
      </c>
      <c r="L307" s="72">
        <v>200</v>
      </c>
      <c r="M307" s="72"/>
      <c r="N307" s="73" t="e">
        <f t="shared" si="26"/>
        <v>#DIV/0!</v>
      </c>
      <c r="O307" s="73">
        <f t="shared" si="27"/>
        <v>0</v>
      </c>
      <c r="P307" s="74">
        <f>IF(L307="nio",0,IF(L307&gt;0,VLOOKUP(H307,'3-Productie normen'!A:J,VLOOKUP(L307,'3-Productie normen'!$B$33:$C$38,2,FALSE),FALSE)))/VLOOKUP(B307,'2-Kosten per locatie'!$A$12:$C$23,3,FALSE)</f>
        <v>0</v>
      </c>
      <c r="Q307" s="74">
        <f t="shared" si="28"/>
        <v>0</v>
      </c>
      <c r="R307" s="75" t="str">
        <f>VLOOKUP(H307,'3-Productie normen'!A:L,12,FALSE)</f>
        <v>V</v>
      </c>
      <c r="S307" s="75"/>
      <c r="U307" s="41">
        <f t="shared" si="29"/>
        <v>11518</v>
      </c>
    </row>
    <row r="308" spans="1:21" ht="14.1" customHeight="1">
      <c r="A308" s="54">
        <f t="shared" si="24"/>
        <v>308</v>
      </c>
      <c r="B308" s="70" t="s">
        <v>419</v>
      </c>
      <c r="C308" s="70"/>
      <c r="D308" s="418" t="s">
        <v>420</v>
      </c>
      <c r="E308" s="418" t="s">
        <v>89</v>
      </c>
      <c r="F308" s="81">
        <v>22</v>
      </c>
      <c r="G308" s="81" t="s">
        <v>247</v>
      </c>
      <c r="H308" s="81" t="s">
        <v>90</v>
      </c>
      <c r="I308" s="81" t="s">
        <v>227</v>
      </c>
      <c r="J308" s="461">
        <v>9.7200000000000006</v>
      </c>
      <c r="K308" s="371">
        <f t="shared" si="25"/>
        <v>200</v>
      </c>
      <c r="L308" s="72">
        <v>200</v>
      </c>
      <c r="M308" s="72"/>
      <c r="N308" s="73" t="e">
        <f t="shared" si="26"/>
        <v>#DIV/0!</v>
      </c>
      <c r="O308" s="73">
        <f t="shared" si="27"/>
        <v>0</v>
      </c>
      <c r="P308" s="74">
        <f>IF(L308="nio",0,IF(L308&gt;0,VLOOKUP(H308,'3-Productie normen'!A:J,VLOOKUP(L308,'3-Productie normen'!$B$33:$C$38,2,FALSE),FALSE)))/VLOOKUP(B308,'2-Kosten per locatie'!$A$12:$C$23,3,FALSE)</f>
        <v>0</v>
      </c>
      <c r="Q308" s="74">
        <f t="shared" si="28"/>
        <v>0</v>
      </c>
      <c r="R308" s="75" t="str">
        <f>VLOOKUP(H308,'3-Productie normen'!A:L,12,FALSE)</f>
        <v>V</v>
      </c>
      <c r="S308" s="75"/>
      <c r="U308" s="41">
        <f t="shared" si="29"/>
        <v>1944.0000000000002</v>
      </c>
    </row>
    <row r="309" spans="1:21" ht="14.1" customHeight="1">
      <c r="A309" s="54">
        <f t="shared" si="24"/>
        <v>309</v>
      </c>
      <c r="B309" s="70" t="s">
        <v>419</v>
      </c>
      <c r="C309" s="70"/>
      <c r="D309" s="418" t="s">
        <v>420</v>
      </c>
      <c r="E309" s="418" t="s">
        <v>89</v>
      </c>
      <c r="F309" s="81">
        <v>23</v>
      </c>
      <c r="G309" s="81" t="s">
        <v>252</v>
      </c>
      <c r="H309" s="81" t="s">
        <v>101</v>
      </c>
      <c r="I309" s="81" t="s">
        <v>250</v>
      </c>
      <c r="J309" s="461">
        <v>1.02</v>
      </c>
      <c r="K309" s="371">
        <f t="shared" si="25"/>
        <v>0</v>
      </c>
      <c r="L309" s="72" t="s">
        <v>101</v>
      </c>
      <c r="M309" s="72"/>
      <c r="N309" s="73">
        <f t="shared" si="26"/>
        <v>0</v>
      </c>
      <c r="O309" s="73">
        <f t="shared" si="27"/>
        <v>0</v>
      </c>
      <c r="P309" s="74">
        <f>IF(L309="nio",0,IF(L309&gt;0,VLOOKUP(H309,'3-Productie normen'!A:J,VLOOKUP(L309,'3-Productie normen'!$B$33:$C$38,2,FALSE),FALSE)))/VLOOKUP(B309,'2-Kosten per locatie'!$A$12:$C$23,3,FALSE)</f>
        <v>0</v>
      </c>
      <c r="Q309" s="74">
        <f t="shared" si="28"/>
        <v>0</v>
      </c>
      <c r="R309" s="75">
        <f>VLOOKUP(H309,'3-Productie normen'!A:L,12,FALSE)</f>
        <v>0</v>
      </c>
      <c r="S309" s="75"/>
      <c r="U309" s="41">
        <f t="shared" si="29"/>
        <v>0</v>
      </c>
    </row>
    <row r="310" spans="1:21" ht="14.1" customHeight="1">
      <c r="A310" s="54">
        <f t="shared" si="24"/>
        <v>310</v>
      </c>
      <c r="B310" s="70" t="s">
        <v>419</v>
      </c>
      <c r="C310" s="70"/>
      <c r="D310" s="418" t="s">
        <v>420</v>
      </c>
      <c r="E310" s="418" t="s">
        <v>89</v>
      </c>
      <c r="F310" s="81">
        <v>24</v>
      </c>
      <c r="G310" s="81" t="s">
        <v>17</v>
      </c>
      <c r="H310" s="81" t="s">
        <v>17</v>
      </c>
      <c r="I310" s="81" t="s">
        <v>250</v>
      </c>
      <c r="J310" s="461">
        <v>5.76</v>
      </c>
      <c r="K310" s="371">
        <f t="shared" si="25"/>
        <v>200</v>
      </c>
      <c r="L310" s="72">
        <v>200</v>
      </c>
      <c r="M310" s="72"/>
      <c r="N310" s="73" t="e">
        <f t="shared" si="26"/>
        <v>#DIV/0!</v>
      </c>
      <c r="O310" s="73">
        <f t="shared" si="27"/>
        <v>0</v>
      </c>
      <c r="P310" s="74">
        <f>IF(L310="nio",0,IF(L310&gt;0,VLOOKUP(H310,'3-Productie normen'!A:J,VLOOKUP(L310,'3-Productie normen'!$B$33:$C$38,2,FALSE),FALSE)))/VLOOKUP(B310,'2-Kosten per locatie'!$A$12:$C$23,3,FALSE)</f>
        <v>0</v>
      </c>
      <c r="Q310" s="74">
        <f t="shared" si="28"/>
        <v>0</v>
      </c>
      <c r="R310" s="75" t="str">
        <f>VLOOKUP(H310,'3-Productie normen'!A:L,12,FALSE)</f>
        <v>S</v>
      </c>
      <c r="S310" s="75"/>
      <c r="U310" s="41">
        <f t="shared" si="29"/>
        <v>1152</v>
      </c>
    </row>
    <row r="311" spans="1:21" ht="14.1" customHeight="1">
      <c r="A311" s="54">
        <f t="shared" si="24"/>
        <v>311</v>
      </c>
      <c r="B311" s="70" t="s">
        <v>419</v>
      </c>
      <c r="C311" s="70"/>
      <c r="D311" s="418" t="s">
        <v>420</v>
      </c>
      <c r="E311" s="418" t="s">
        <v>89</v>
      </c>
      <c r="F311" s="81">
        <v>25</v>
      </c>
      <c r="G311" s="81" t="s">
        <v>240</v>
      </c>
      <c r="H311" s="81" t="s">
        <v>240</v>
      </c>
      <c r="I311" s="81" t="s">
        <v>225</v>
      </c>
      <c r="J311" s="461">
        <v>54.11</v>
      </c>
      <c r="K311" s="371">
        <f t="shared" si="25"/>
        <v>200</v>
      </c>
      <c r="L311" s="72">
        <v>200</v>
      </c>
      <c r="M311" s="72"/>
      <c r="N311" s="73" t="e">
        <f t="shared" si="26"/>
        <v>#DIV/0!</v>
      </c>
      <c r="O311" s="73">
        <f t="shared" si="27"/>
        <v>0</v>
      </c>
      <c r="P311" s="74">
        <f>IF(L311="nio",0,IF(L311&gt;0,VLOOKUP(H311,'3-Productie normen'!A:J,VLOOKUP(L311,'3-Productie normen'!$B$33:$C$38,2,FALSE),FALSE)))/VLOOKUP(B311,'2-Kosten per locatie'!$A$12:$C$23,3,FALSE)</f>
        <v>0</v>
      </c>
      <c r="Q311" s="74">
        <f t="shared" si="28"/>
        <v>0</v>
      </c>
      <c r="R311" s="75" t="str">
        <f>VLOOKUP(H311,'3-Productie normen'!A:L,12,FALSE)</f>
        <v>V</v>
      </c>
      <c r="S311" s="75"/>
      <c r="U311" s="41">
        <f t="shared" si="29"/>
        <v>10822</v>
      </c>
    </row>
    <row r="312" spans="1:21" ht="14.1" customHeight="1">
      <c r="A312" s="54">
        <f t="shared" si="24"/>
        <v>312</v>
      </c>
      <c r="B312" s="70" t="s">
        <v>419</v>
      </c>
      <c r="C312" s="70"/>
      <c r="D312" s="418" t="s">
        <v>420</v>
      </c>
      <c r="E312" s="418" t="s">
        <v>89</v>
      </c>
      <c r="F312" s="81">
        <v>26</v>
      </c>
      <c r="G312" s="81" t="s">
        <v>248</v>
      </c>
      <c r="H312" s="81" t="s">
        <v>232</v>
      </c>
      <c r="I312" s="81" t="s">
        <v>245</v>
      </c>
      <c r="J312" s="461">
        <v>24.44</v>
      </c>
      <c r="K312" s="371">
        <f t="shared" si="25"/>
        <v>200</v>
      </c>
      <c r="L312" s="72">
        <v>200</v>
      </c>
      <c r="M312" s="72"/>
      <c r="N312" s="73" t="e">
        <f t="shared" si="26"/>
        <v>#DIV/0!</v>
      </c>
      <c r="O312" s="73">
        <f t="shared" si="27"/>
        <v>0</v>
      </c>
      <c r="P312" s="74">
        <f>IF(L312="nio",0,IF(L312&gt;0,VLOOKUP(H312,'3-Productie normen'!A:J,VLOOKUP(L312,'3-Productie normen'!$B$33:$C$38,2,FALSE),FALSE)))/VLOOKUP(B312,'2-Kosten per locatie'!$A$12:$C$23,3,FALSE)</f>
        <v>0</v>
      </c>
      <c r="Q312" s="74">
        <f t="shared" si="28"/>
        <v>0</v>
      </c>
      <c r="R312" s="75" t="str">
        <f>VLOOKUP(H312,'3-Productie normen'!A:L,12,FALSE)</f>
        <v>V</v>
      </c>
      <c r="S312" s="75"/>
      <c r="U312" s="41">
        <f t="shared" si="29"/>
        <v>4888</v>
      </c>
    </row>
    <row r="313" spans="1:21" ht="14.1" customHeight="1">
      <c r="A313" s="54">
        <f t="shared" si="24"/>
        <v>313</v>
      </c>
      <c r="B313" s="70" t="s">
        <v>419</v>
      </c>
      <c r="C313" s="70"/>
      <c r="D313" s="418" t="s">
        <v>420</v>
      </c>
      <c r="E313" s="418" t="s">
        <v>89</v>
      </c>
      <c r="F313" s="81">
        <v>27</v>
      </c>
      <c r="G313" s="81" t="s">
        <v>226</v>
      </c>
      <c r="H313" s="81" t="s">
        <v>226</v>
      </c>
      <c r="I313" s="81" t="s">
        <v>245</v>
      </c>
      <c r="J313" s="461">
        <v>10.199999999999999</v>
      </c>
      <c r="K313" s="371">
        <f t="shared" si="25"/>
        <v>200</v>
      </c>
      <c r="L313" s="72">
        <v>200</v>
      </c>
      <c r="M313" s="72"/>
      <c r="N313" s="73" t="e">
        <f t="shared" si="26"/>
        <v>#DIV/0!</v>
      </c>
      <c r="O313" s="73">
        <f t="shared" si="27"/>
        <v>0</v>
      </c>
      <c r="P313" s="74">
        <f>IF(L313="nio",0,IF(L313&gt;0,VLOOKUP(H313,'3-Productie normen'!A:J,VLOOKUP(L313,'3-Productie normen'!$B$33:$C$38,2,FALSE),FALSE)))/VLOOKUP(B313,'2-Kosten per locatie'!$A$12:$C$23,3,FALSE)</f>
        <v>0</v>
      </c>
      <c r="Q313" s="74">
        <f t="shared" si="28"/>
        <v>0</v>
      </c>
      <c r="R313" s="75" t="str">
        <f>VLOOKUP(H313,'3-Productie normen'!A:L,12,FALSE)</f>
        <v>V</v>
      </c>
      <c r="S313" s="75"/>
      <c r="U313" s="41">
        <f t="shared" si="29"/>
        <v>2039.9999999999998</v>
      </c>
    </row>
    <row r="314" spans="1:21" ht="14.1" customHeight="1">
      <c r="A314" s="54">
        <f t="shared" si="24"/>
        <v>314</v>
      </c>
      <c r="B314" s="70" t="s">
        <v>419</v>
      </c>
      <c r="C314" s="70"/>
      <c r="D314" s="418" t="s">
        <v>420</v>
      </c>
      <c r="E314" s="418" t="s">
        <v>89</v>
      </c>
      <c r="F314" s="81">
        <v>28</v>
      </c>
      <c r="G314" s="81" t="s">
        <v>176</v>
      </c>
      <c r="H314" s="81" t="s">
        <v>176</v>
      </c>
      <c r="I314" s="81" t="s">
        <v>225</v>
      </c>
      <c r="J314" s="461">
        <v>15.89</v>
      </c>
      <c r="K314" s="371">
        <f t="shared" si="25"/>
        <v>200</v>
      </c>
      <c r="L314" s="72">
        <v>200</v>
      </c>
      <c r="M314" s="72"/>
      <c r="N314" s="73" t="e">
        <f t="shared" si="26"/>
        <v>#DIV/0!</v>
      </c>
      <c r="O314" s="73">
        <f t="shared" si="27"/>
        <v>0</v>
      </c>
      <c r="P314" s="74">
        <f>IF(L314="nio",0,IF(L314&gt;0,VLOOKUP(H314,'3-Productie normen'!A:J,VLOOKUP(L314,'3-Productie normen'!$B$33:$C$38,2,FALSE),FALSE)))/VLOOKUP(B314,'2-Kosten per locatie'!$A$12:$C$23,3,FALSE)</f>
        <v>0</v>
      </c>
      <c r="Q314" s="74">
        <f t="shared" si="28"/>
        <v>0</v>
      </c>
      <c r="R314" s="75" t="str">
        <f>VLOOKUP(H314,'3-Productie normen'!A:L,12,FALSE)</f>
        <v>B</v>
      </c>
      <c r="S314" s="75"/>
      <c r="U314" s="41">
        <f t="shared" si="29"/>
        <v>3178</v>
      </c>
    </row>
    <row r="315" spans="1:21" ht="14.1" customHeight="1">
      <c r="A315" s="54">
        <f t="shared" si="24"/>
        <v>315</v>
      </c>
      <c r="B315" s="70" t="s">
        <v>419</v>
      </c>
      <c r="C315" s="70"/>
      <c r="D315" s="418" t="s">
        <v>420</v>
      </c>
      <c r="E315" s="418" t="s">
        <v>89</v>
      </c>
      <c r="F315" s="81">
        <v>29</v>
      </c>
      <c r="G315" s="81" t="s">
        <v>176</v>
      </c>
      <c r="H315" s="81" t="s">
        <v>176</v>
      </c>
      <c r="I315" s="81" t="s">
        <v>225</v>
      </c>
      <c r="J315" s="461">
        <v>19.600000000000001</v>
      </c>
      <c r="K315" s="371">
        <f t="shared" si="25"/>
        <v>200</v>
      </c>
      <c r="L315" s="72">
        <v>200</v>
      </c>
      <c r="M315" s="72"/>
      <c r="N315" s="73" t="e">
        <f t="shared" si="26"/>
        <v>#DIV/0!</v>
      </c>
      <c r="O315" s="73">
        <f t="shared" si="27"/>
        <v>0</v>
      </c>
      <c r="P315" s="74">
        <f>IF(L315="nio",0,IF(L315&gt;0,VLOOKUP(H315,'3-Productie normen'!A:J,VLOOKUP(L315,'3-Productie normen'!$B$33:$C$38,2,FALSE),FALSE)))/VLOOKUP(B315,'2-Kosten per locatie'!$A$12:$C$23,3,FALSE)</f>
        <v>0</v>
      </c>
      <c r="Q315" s="74">
        <f t="shared" si="28"/>
        <v>0</v>
      </c>
      <c r="R315" s="75" t="str">
        <f>VLOOKUP(H315,'3-Productie normen'!A:L,12,FALSE)</f>
        <v>B</v>
      </c>
      <c r="S315" s="75"/>
      <c r="U315" s="41">
        <f t="shared" si="29"/>
        <v>3920.0000000000005</v>
      </c>
    </row>
    <row r="316" spans="1:21" ht="14.1" customHeight="1">
      <c r="A316" s="54">
        <f t="shared" si="24"/>
        <v>316</v>
      </c>
      <c r="B316" s="70" t="s">
        <v>419</v>
      </c>
      <c r="C316" s="70"/>
      <c r="D316" s="418" t="s">
        <v>420</v>
      </c>
      <c r="E316" s="418" t="s">
        <v>89</v>
      </c>
      <c r="F316" s="81">
        <v>30</v>
      </c>
      <c r="G316" s="81" t="s">
        <v>1</v>
      </c>
      <c r="H316" s="81" t="s">
        <v>1</v>
      </c>
      <c r="I316" s="81" t="s">
        <v>245</v>
      </c>
      <c r="J316" s="461">
        <v>21.94</v>
      </c>
      <c r="K316" s="371">
        <f t="shared" si="25"/>
        <v>200</v>
      </c>
      <c r="L316" s="72">
        <v>200</v>
      </c>
      <c r="M316" s="72"/>
      <c r="N316" s="73" t="e">
        <f t="shared" si="26"/>
        <v>#DIV/0!</v>
      </c>
      <c r="O316" s="73">
        <f t="shared" si="27"/>
        <v>0</v>
      </c>
      <c r="P316" s="74">
        <f>IF(L316="nio",0,IF(L316&gt;0,VLOOKUP(H316,'3-Productie normen'!A:J,VLOOKUP(L316,'3-Productie normen'!$B$33:$C$38,2,FALSE),FALSE)))/VLOOKUP(B316,'2-Kosten per locatie'!$A$12:$C$23,3,FALSE)</f>
        <v>0</v>
      </c>
      <c r="Q316" s="74">
        <f t="shared" si="28"/>
        <v>0</v>
      </c>
      <c r="R316" s="75" t="str">
        <f>VLOOKUP(H316,'3-Productie normen'!A:L,12,FALSE)</f>
        <v>V</v>
      </c>
      <c r="S316" s="75"/>
      <c r="U316" s="41">
        <f t="shared" si="29"/>
        <v>4388</v>
      </c>
    </row>
    <row r="317" spans="1:21" ht="14.1" customHeight="1">
      <c r="A317" s="54">
        <f t="shared" si="24"/>
        <v>317</v>
      </c>
      <c r="B317" s="70" t="s">
        <v>419</v>
      </c>
      <c r="C317" s="70"/>
      <c r="D317" s="418" t="s">
        <v>420</v>
      </c>
      <c r="E317" s="418" t="s">
        <v>89</v>
      </c>
      <c r="F317" s="81">
        <v>31</v>
      </c>
      <c r="G317" s="81" t="s">
        <v>17</v>
      </c>
      <c r="H317" s="81" t="s">
        <v>17</v>
      </c>
      <c r="I317" s="81" t="s">
        <v>245</v>
      </c>
      <c r="J317" s="461">
        <v>17.04</v>
      </c>
      <c r="K317" s="371">
        <f t="shared" si="25"/>
        <v>200</v>
      </c>
      <c r="L317" s="72">
        <v>200</v>
      </c>
      <c r="M317" s="72"/>
      <c r="N317" s="73" t="e">
        <f t="shared" si="26"/>
        <v>#DIV/0!</v>
      </c>
      <c r="O317" s="73">
        <f t="shared" si="27"/>
        <v>0</v>
      </c>
      <c r="P317" s="74">
        <f>IF(L317="nio",0,IF(L317&gt;0,VLOOKUP(H317,'3-Productie normen'!A:J,VLOOKUP(L317,'3-Productie normen'!$B$33:$C$38,2,FALSE),FALSE)))/VLOOKUP(B317,'2-Kosten per locatie'!$A$12:$C$23,3,FALSE)</f>
        <v>0</v>
      </c>
      <c r="Q317" s="74">
        <f t="shared" si="28"/>
        <v>0</v>
      </c>
      <c r="R317" s="75" t="str">
        <f>VLOOKUP(H317,'3-Productie normen'!A:L,12,FALSE)</f>
        <v>S</v>
      </c>
      <c r="S317" s="75"/>
      <c r="U317" s="41">
        <f t="shared" si="29"/>
        <v>3408</v>
      </c>
    </row>
    <row r="318" spans="1:21" ht="14.1" customHeight="1">
      <c r="A318" s="54">
        <f t="shared" si="24"/>
        <v>318</v>
      </c>
      <c r="B318" s="70" t="s">
        <v>419</v>
      </c>
      <c r="C318" s="70"/>
      <c r="D318" s="418" t="s">
        <v>420</v>
      </c>
      <c r="E318" s="418" t="s">
        <v>89</v>
      </c>
      <c r="F318" s="81">
        <v>32</v>
      </c>
      <c r="G318" s="81" t="s">
        <v>17</v>
      </c>
      <c r="H318" s="81" t="s">
        <v>17</v>
      </c>
      <c r="I318" s="81" t="s">
        <v>245</v>
      </c>
      <c r="J318" s="461">
        <v>17.04</v>
      </c>
      <c r="K318" s="371">
        <f t="shared" si="25"/>
        <v>200</v>
      </c>
      <c r="L318" s="72">
        <v>200</v>
      </c>
      <c r="M318" s="72"/>
      <c r="N318" s="73" t="e">
        <f t="shared" si="26"/>
        <v>#DIV/0!</v>
      </c>
      <c r="O318" s="73">
        <f t="shared" si="27"/>
        <v>0</v>
      </c>
      <c r="P318" s="74">
        <f>IF(L318="nio",0,IF(L318&gt;0,VLOOKUP(H318,'3-Productie normen'!A:J,VLOOKUP(L318,'3-Productie normen'!$B$33:$C$38,2,FALSE),FALSE)))/VLOOKUP(B318,'2-Kosten per locatie'!$A$12:$C$23,3,FALSE)</f>
        <v>0</v>
      </c>
      <c r="Q318" s="74">
        <f t="shared" si="28"/>
        <v>0</v>
      </c>
      <c r="R318" s="75" t="str">
        <f>VLOOKUP(H318,'3-Productie normen'!A:L,12,FALSE)</f>
        <v>S</v>
      </c>
      <c r="S318" s="75"/>
      <c r="U318" s="41">
        <f t="shared" si="29"/>
        <v>3408</v>
      </c>
    </row>
    <row r="319" spans="1:21" ht="14.1" customHeight="1">
      <c r="A319" s="54">
        <f t="shared" si="24"/>
        <v>319</v>
      </c>
      <c r="B319" s="70" t="s">
        <v>419</v>
      </c>
      <c r="C319" s="70"/>
      <c r="D319" s="418" t="s">
        <v>420</v>
      </c>
      <c r="E319" s="418" t="s">
        <v>89</v>
      </c>
      <c r="F319" s="81">
        <v>33</v>
      </c>
      <c r="G319" s="81" t="s">
        <v>1</v>
      </c>
      <c r="H319" s="81" t="s">
        <v>1</v>
      </c>
      <c r="I319" s="81" t="s">
        <v>245</v>
      </c>
      <c r="J319" s="461">
        <v>21.94</v>
      </c>
      <c r="K319" s="371">
        <f t="shared" si="25"/>
        <v>200</v>
      </c>
      <c r="L319" s="72">
        <v>200</v>
      </c>
      <c r="M319" s="72"/>
      <c r="N319" s="73" t="e">
        <f t="shared" si="26"/>
        <v>#DIV/0!</v>
      </c>
      <c r="O319" s="73">
        <f t="shared" si="27"/>
        <v>0</v>
      </c>
      <c r="P319" s="74">
        <f>IF(L319="nio",0,IF(L319&gt;0,VLOOKUP(H319,'3-Productie normen'!A:J,VLOOKUP(L319,'3-Productie normen'!$B$33:$C$38,2,FALSE),FALSE)))/VLOOKUP(B319,'2-Kosten per locatie'!$A$12:$C$23,3,FALSE)</f>
        <v>0</v>
      </c>
      <c r="Q319" s="74">
        <f t="shared" si="28"/>
        <v>0</v>
      </c>
      <c r="R319" s="75" t="str">
        <f>VLOOKUP(H319,'3-Productie normen'!A:L,12,FALSE)</f>
        <v>V</v>
      </c>
      <c r="S319" s="75"/>
      <c r="U319" s="41">
        <f t="shared" si="29"/>
        <v>4388</v>
      </c>
    </row>
    <row r="320" spans="1:21" ht="14.1" customHeight="1">
      <c r="A320" s="54">
        <f t="shared" si="24"/>
        <v>320</v>
      </c>
      <c r="B320" s="70" t="s">
        <v>419</v>
      </c>
      <c r="C320" s="70"/>
      <c r="D320" s="418" t="s">
        <v>420</v>
      </c>
      <c r="E320" s="418" t="s">
        <v>89</v>
      </c>
      <c r="F320" s="81">
        <v>34</v>
      </c>
      <c r="G320" s="81" t="s">
        <v>17</v>
      </c>
      <c r="H320" s="81" t="s">
        <v>17</v>
      </c>
      <c r="I320" s="81" t="s">
        <v>245</v>
      </c>
      <c r="J320" s="461">
        <v>3.32</v>
      </c>
      <c r="K320" s="371">
        <f t="shared" si="25"/>
        <v>200</v>
      </c>
      <c r="L320" s="72">
        <v>200</v>
      </c>
      <c r="M320" s="72"/>
      <c r="N320" s="73" t="e">
        <f t="shared" si="26"/>
        <v>#DIV/0!</v>
      </c>
      <c r="O320" s="73">
        <f t="shared" si="27"/>
        <v>0</v>
      </c>
      <c r="P320" s="74">
        <f>IF(L320="nio",0,IF(L320&gt;0,VLOOKUP(H320,'3-Productie normen'!A:J,VLOOKUP(L320,'3-Productie normen'!$B$33:$C$38,2,FALSE),FALSE)))/VLOOKUP(B320,'2-Kosten per locatie'!$A$12:$C$23,3,FALSE)</f>
        <v>0</v>
      </c>
      <c r="Q320" s="74">
        <f t="shared" si="28"/>
        <v>0</v>
      </c>
      <c r="R320" s="75" t="str">
        <f>VLOOKUP(H320,'3-Productie normen'!A:L,12,FALSE)</f>
        <v>S</v>
      </c>
      <c r="S320" s="75"/>
      <c r="U320" s="41">
        <f t="shared" si="29"/>
        <v>664</v>
      </c>
    </row>
    <row r="321" spans="1:21" ht="14.1" customHeight="1">
      <c r="A321" s="54">
        <f t="shared" si="24"/>
        <v>321</v>
      </c>
      <c r="B321" s="70" t="s">
        <v>419</v>
      </c>
      <c r="C321" s="70"/>
      <c r="D321" s="418" t="s">
        <v>420</v>
      </c>
      <c r="E321" s="418" t="s">
        <v>89</v>
      </c>
      <c r="F321" s="81">
        <v>35</v>
      </c>
      <c r="G321" s="81" t="s">
        <v>236</v>
      </c>
      <c r="H321" s="81" t="s">
        <v>236</v>
      </c>
      <c r="I321" s="81" t="s">
        <v>250</v>
      </c>
      <c r="J321" s="461">
        <v>292.24</v>
      </c>
      <c r="K321" s="371">
        <f t="shared" si="25"/>
        <v>200</v>
      </c>
      <c r="L321" s="72">
        <v>200</v>
      </c>
      <c r="M321" s="72"/>
      <c r="N321" s="73" t="e">
        <f t="shared" si="26"/>
        <v>#DIV/0!</v>
      </c>
      <c r="O321" s="73">
        <f t="shared" si="27"/>
        <v>0</v>
      </c>
      <c r="P321" s="74">
        <f>IF(L321="nio",0,IF(L321&gt;0,VLOOKUP(H321,'3-Productie normen'!A:J,VLOOKUP(L321,'3-Productie normen'!$B$33:$C$38,2,FALSE),FALSE)))/VLOOKUP(B321,'2-Kosten per locatie'!$A$12:$C$23,3,FALSE)</f>
        <v>0</v>
      </c>
      <c r="Q321" s="74">
        <f t="shared" si="28"/>
        <v>0</v>
      </c>
      <c r="R321" s="75" t="str">
        <f>VLOOKUP(H321,'3-Productie normen'!A:L,12,FALSE)</f>
        <v>V</v>
      </c>
      <c r="S321" s="75"/>
      <c r="U321" s="41">
        <f t="shared" si="29"/>
        <v>58448</v>
      </c>
    </row>
    <row r="322" spans="1:21" ht="14.1" customHeight="1">
      <c r="A322" s="54">
        <f t="shared" si="24"/>
        <v>322</v>
      </c>
      <c r="B322" s="70" t="s">
        <v>419</v>
      </c>
      <c r="C322" s="70"/>
      <c r="D322" s="418" t="s">
        <v>420</v>
      </c>
      <c r="E322" s="418" t="s">
        <v>89</v>
      </c>
      <c r="F322" s="81">
        <v>36</v>
      </c>
      <c r="G322" s="81" t="s">
        <v>226</v>
      </c>
      <c r="H322" s="81" t="s">
        <v>226</v>
      </c>
      <c r="I322" s="81" t="s">
        <v>245</v>
      </c>
      <c r="J322" s="461">
        <v>10.7</v>
      </c>
      <c r="K322" s="371">
        <f t="shared" si="25"/>
        <v>200</v>
      </c>
      <c r="L322" s="72">
        <v>200</v>
      </c>
      <c r="M322" s="72"/>
      <c r="N322" s="73" t="e">
        <f t="shared" si="26"/>
        <v>#DIV/0!</v>
      </c>
      <c r="O322" s="73">
        <f t="shared" si="27"/>
        <v>0</v>
      </c>
      <c r="P322" s="74">
        <f>IF(L322="nio",0,IF(L322&gt;0,VLOOKUP(H322,'3-Productie normen'!A:J,VLOOKUP(L322,'3-Productie normen'!$B$33:$C$38,2,FALSE),FALSE)))/VLOOKUP(B322,'2-Kosten per locatie'!$A$12:$C$23,3,FALSE)</f>
        <v>0</v>
      </c>
      <c r="Q322" s="74">
        <f t="shared" si="28"/>
        <v>0</v>
      </c>
      <c r="R322" s="75" t="str">
        <f>VLOOKUP(H322,'3-Productie normen'!A:L,12,FALSE)</f>
        <v>V</v>
      </c>
      <c r="S322" s="75"/>
      <c r="U322" s="41">
        <f t="shared" si="29"/>
        <v>2140</v>
      </c>
    </row>
    <row r="323" spans="1:21" ht="14.1" customHeight="1">
      <c r="A323" s="54">
        <f t="shared" ref="A323:A386" si="30">A322+1</f>
        <v>323</v>
      </c>
      <c r="B323" s="70" t="s">
        <v>419</v>
      </c>
      <c r="C323" s="70"/>
      <c r="D323" s="418" t="s">
        <v>420</v>
      </c>
      <c r="E323" s="418">
        <v>1</v>
      </c>
      <c r="F323" s="81">
        <v>37</v>
      </c>
      <c r="G323" s="81" t="s">
        <v>233</v>
      </c>
      <c r="H323" s="81" t="s">
        <v>233</v>
      </c>
      <c r="I323" s="81" t="s">
        <v>225</v>
      </c>
      <c r="J323" s="461">
        <v>56.55</v>
      </c>
      <c r="K323" s="371">
        <f t="shared" si="25"/>
        <v>200</v>
      </c>
      <c r="L323" s="72">
        <v>200</v>
      </c>
      <c r="M323" s="72"/>
      <c r="N323" s="73" t="e">
        <f t="shared" si="26"/>
        <v>#DIV/0!</v>
      </c>
      <c r="O323" s="73">
        <f t="shared" si="27"/>
        <v>0</v>
      </c>
      <c r="P323" s="74">
        <f>IF(L323="nio",0,IF(L323&gt;0,VLOOKUP(H323,'3-Productie normen'!A:J,VLOOKUP(L323,'3-Productie normen'!$B$33:$C$38,2,FALSE),FALSE)))/VLOOKUP(B323,'2-Kosten per locatie'!$A$12:$C$23,3,FALSE)</f>
        <v>0</v>
      </c>
      <c r="Q323" s="74">
        <f t="shared" si="28"/>
        <v>0</v>
      </c>
      <c r="R323" s="75" t="str">
        <f>VLOOKUP(H323,'3-Productie normen'!A:L,12,FALSE)</f>
        <v>L</v>
      </c>
      <c r="S323" s="75"/>
      <c r="U323" s="41">
        <f t="shared" si="29"/>
        <v>11310</v>
      </c>
    </row>
    <row r="324" spans="1:21" ht="14.1" customHeight="1">
      <c r="A324" s="54">
        <f t="shared" si="30"/>
        <v>324</v>
      </c>
      <c r="B324" s="70" t="s">
        <v>419</v>
      </c>
      <c r="C324" s="70"/>
      <c r="D324" s="418" t="s">
        <v>420</v>
      </c>
      <c r="E324" s="418">
        <v>1</v>
      </c>
      <c r="F324" s="81">
        <v>38</v>
      </c>
      <c r="G324" s="81" t="s">
        <v>252</v>
      </c>
      <c r="H324" s="81" t="s">
        <v>101</v>
      </c>
      <c r="I324" s="81" t="s">
        <v>225</v>
      </c>
      <c r="J324" s="461">
        <v>6.75</v>
      </c>
      <c r="K324" s="371">
        <f t="shared" si="25"/>
        <v>0</v>
      </c>
      <c r="L324" s="72" t="s">
        <v>101</v>
      </c>
      <c r="M324" s="72"/>
      <c r="N324" s="73">
        <f t="shared" si="26"/>
        <v>0</v>
      </c>
      <c r="O324" s="73">
        <f t="shared" si="27"/>
        <v>0</v>
      </c>
      <c r="P324" s="74">
        <f>IF(L324="nio",0,IF(L324&gt;0,VLOOKUP(H324,'3-Productie normen'!A:J,VLOOKUP(L324,'3-Productie normen'!$B$33:$C$38,2,FALSE),FALSE)))/VLOOKUP(B324,'2-Kosten per locatie'!$A$12:$C$23,3,FALSE)</f>
        <v>0</v>
      </c>
      <c r="Q324" s="74">
        <f t="shared" si="28"/>
        <v>0</v>
      </c>
      <c r="R324" s="75">
        <f>VLOOKUP(H324,'3-Productie normen'!A:L,12,FALSE)</f>
        <v>0</v>
      </c>
      <c r="S324" s="75"/>
      <c r="U324" s="41">
        <f t="shared" si="29"/>
        <v>0</v>
      </c>
    </row>
    <row r="325" spans="1:21" ht="14.1" customHeight="1">
      <c r="A325" s="54">
        <f t="shared" si="30"/>
        <v>325</v>
      </c>
      <c r="B325" s="70" t="s">
        <v>419</v>
      </c>
      <c r="C325" s="70"/>
      <c r="D325" s="419" t="s">
        <v>420</v>
      </c>
      <c r="E325" s="419">
        <v>1</v>
      </c>
      <c r="F325" s="84">
        <v>39</v>
      </c>
      <c r="G325" s="84" t="s">
        <v>17</v>
      </c>
      <c r="H325" s="84" t="s">
        <v>17</v>
      </c>
      <c r="I325" s="84" t="s">
        <v>250</v>
      </c>
      <c r="J325" s="465">
        <v>6.63</v>
      </c>
      <c r="K325" s="371">
        <f t="shared" si="25"/>
        <v>200</v>
      </c>
      <c r="L325" s="72">
        <v>200</v>
      </c>
      <c r="M325" s="72"/>
      <c r="N325" s="73" t="e">
        <f t="shared" si="26"/>
        <v>#DIV/0!</v>
      </c>
      <c r="O325" s="73">
        <f t="shared" si="27"/>
        <v>0</v>
      </c>
      <c r="P325" s="74">
        <f>IF(L325="nio",0,IF(L325&gt;0,VLOOKUP(H325,'3-Productie normen'!A:J,VLOOKUP(L325,'3-Productie normen'!$B$33:$C$38,2,FALSE),FALSE)))/VLOOKUP(B325,'2-Kosten per locatie'!$A$12:$C$23,3,FALSE)</f>
        <v>0</v>
      </c>
      <c r="Q325" s="74">
        <f t="shared" si="28"/>
        <v>0</v>
      </c>
      <c r="R325" s="75" t="str">
        <f>VLOOKUP(H325,'3-Productie normen'!A:L,12,FALSE)</f>
        <v>S</v>
      </c>
      <c r="S325" s="75"/>
      <c r="U325" s="41">
        <f t="shared" si="29"/>
        <v>1326</v>
      </c>
    </row>
    <row r="326" spans="1:21" ht="14.1" customHeight="1">
      <c r="A326" s="54">
        <f t="shared" si="30"/>
        <v>326</v>
      </c>
      <c r="B326" s="70" t="s">
        <v>419</v>
      </c>
      <c r="C326" s="70"/>
      <c r="D326" s="419" t="s">
        <v>420</v>
      </c>
      <c r="E326" s="419">
        <v>1</v>
      </c>
      <c r="F326" s="84">
        <v>40</v>
      </c>
      <c r="G326" s="84" t="s">
        <v>248</v>
      </c>
      <c r="H326" s="84" t="s">
        <v>232</v>
      </c>
      <c r="I326" s="84" t="s">
        <v>245</v>
      </c>
      <c r="J326" s="465">
        <v>9.8800000000000008</v>
      </c>
      <c r="K326" s="371">
        <f t="shared" si="25"/>
        <v>200</v>
      </c>
      <c r="L326" s="72">
        <v>200</v>
      </c>
      <c r="M326" s="72"/>
      <c r="N326" s="73" t="e">
        <f t="shared" si="26"/>
        <v>#DIV/0!</v>
      </c>
      <c r="O326" s="73">
        <f t="shared" si="27"/>
        <v>0</v>
      </c>
      <c r="P326" s="74">
        <f>IF(L326="nio",0,IF(L326&gt;0,VLOOKUP(H326,'3-Productie normen'!A:J,VLOOKUP(L326,'3-Productie normen'!$B$33:$C$38,2,FALSE),FALSE)))/VLOOKUP(B326,'2-Kosten per locatie'!$A$12:$C$23,3,FALSE)</f>
        <v>0</v>
      </c>
      <c r="Q326" s="74">
        <f t="shared" si="28"/>
        <v>0</v>
      </c>
      <c r="R326" s="75" t="str">
        <f>VLOOKUP(H326,'3-Productie normen'!A:L,12,FALSE)</f>
        <v>V</v>
      </c>
      <c r="S326" s="75"/>
      <c r="U326" s="41">
        <f t="shared" si="29"/>
        <v>1976.0000000000002</v>
      </c>
    </row>
    <row r="327" spans="1:21" ht="14.1" customHeight="1">
      <c r="A327" s="54">
        <f t="shared" si="30"/>
        <v>327</v>
      </c>
      <c r="B327" s="70" t="s">
        <v>419</v>
      </c>
      <c r="C327" s="70"/>
      <c r="D327" s="419" t="s">
        <v>420</v>
      </c>
      <c r="E327" s="419">
        <v>1</v>
      </c>
      <c r="F327" s="84">
        <v>41</v>
      </c>
      <c r="G327" s="84" t="s">
        <v>233</v>
      </c>
      <c r="H327" s="84" t="s">
        <v>233</v>
      </c>
      <c r="I327" s="84" t="s">
        <v>225</v>
      </c>
      <c r="J327" s="465">
        <v>56.51</v>
      </c>
      <c r="K327" s="371">
        <f t="shared" si="25"/>
        <v>200</v>
      </c>
      <c r="L327" s="72">
        <v>200</v>
      </c>
      <c r="M327" s="72"/>
      <c r="N327" s="73" t="e">
        <f t="shared" si="26"/>
        <v>#DIV/0!</v>
      </c>
      <c r="O327" s="73">
        <f t="shared" si="27"/>
        <v>0</v>
      </c>
      <c r="P327" s="74">
        <f>IF(L327="nio",0,IF(L327&gt;0,VLOOKUP(H327,'3-Productie normen'!A:J,VLOOKUP(L327,'3-Productie normen'!$B$33:$C$38,2,FALSE),FALSE)))/VLOOKUP(B327,'2-Kosten per locatie'!$A$12:$C$23,3,FALSE)</f>
        <v>0</v>
      </c>
      <c r="Q327" s="74">
        <f t="shared" si="28"/>
        <v>0</v>
      </c>
      <c r="R327" s="75" t="str">
        <f>VLOOKUP(H327,'3-Productie normen'!A:L,12,FALSE)</f>
        <v>L</v>
      </c>
      <c r="S327" s="75"/>
      <c r="U327" s="41">
        <f t="shared" si="29"/>
        <v>11302</v>
      </c>
    </row>
    <row r="328" spans="1:21" ht="14.1" customHeight="1">
      <c r="A328" s="54">
        <f t="shared" si="30"/>
        <v>328</v>
      </c>
      <c r="B328" s="70" t="s">
        <v>419</v>
      </c>
      <c r="C328" s="70"/>
      <c r="D328" s="419" t="s">
        <v>420</v>
      </c>
      <c r="E328" s="419">
        <v>1</v>
      </c>
      <c r="F328" s="84">
        <v>42</v>
      </c>
      <c r="G328" s="84" t="s">
        <v>240</v>
      </c>
      <c r="H328" s="84" t="s">
        <v>240</v>
      </c>
      <c r="I328" s="84" t="s">
        <v>225</v>
      </c>
      <c r="J328" s="465">
        <v>56.51</v>
      </c>
      <c r="K328" s="371">
        <f t="shared" si="25"/>
        <v>200</v>
      </c>
      <c r="L328" s="72">
        <v>200</v>
      </c>
      <c r="M328" s="72"/>
      <c r="N328" s="73" t="e">
        <f t="shared" si="26"/>
        <v>#DIV/0!</v>
      </c>
      <c r="O328" s="73">
        <f t="shared" si="27"/>
        <v>0</v>
      </c>
      <c r="P328" s="74">
        <f>IF(L328="nio",0,IF(L328&gt;0,VLOOKUP(H328,'3-Productie normen'!A:J,VLOOKUP(L328,'3-Productie normen'!$B$33:$C$38,2,FALSE),FALSE)))/VLOOKUP(B328,'2-Kosten per locatie'!$A$12:$C$23,3,FALSE)</f>
        <v>0</v>
      </c>
      <c r="Q328" s="74">
        <f t="shared" si="28"/>
        <v>0</v>
      </c>
      <c r="R328" s="75" t="str">
        <f>VLOOKUP(H328,'3-Productie normen'!A:L,12,FALSE)</f>
        <v>V</v>
      </c>
      <c r="S328" s="75"/>
      <c r="U328" s="41">
        <f t="shared" si="29"/>
        <v>11302</v>
      </c>
    </row>
    <row r="329" spans="1:21" ht="14.1" customHeight="1">
      <c r="A329" s="54">
        <f t="shared" si="30"/>
        <v>329</v>
      </c>
      <c r="B329" s="70" t="s">
        <v>419</v>
      </c>
      <c r="C329" s="70"/>
      <c r="D329" s="419" t="s">
        <v>420</v>
      </c>
      <c r="E329" s="419">
        <v>1</v>
      </c>
      <c r="F329" s="84">
        <v>43</v>
      </c>
      <c r="G329" s="84" t="s">
        <v>233</v>
      </c>
      <c r="H329" s="84" t="s">
        <v>233</v>
      </c>
      <c r="I329" s="84" t="s">
        <v>225</v>
      </c>
      <c r="J329" s="465">
        <v>56.55</v>
      </c>
      <c r="K329" s="371">
        <f t="shared" si="25"/>
        <v>200</v>
      </c>
      <c r="L329" s="72">
        <v>200</v>
      </c>
      <c r="M329" s="72"/>
      <c r="N329" s="73" t="e">
        <f t="shared" si="26"/>
        <v>#DIV/0!</v>
      </c>
      <c r="O329" s="73">
        <f t="shared" si="27"/>
        <v>0</v>
      </c>
      <c r="P329" s="74">
        <f>IF(L329="nio",0,IF(L329&gt;0,VLOOKUP(H329,'3-Productie normen'!A:J,VLOOKUP(L329,'3-Productie normen'!$B$33:$C$38,2,FALSE),FALSE)))/VLOOKUP(B329,'2-Kosten per locatie'!$A$12:$C$23,3,FALSE)</f>
        <v>0</v>
      </c>
      <c r="Q329" s="74">
        <f t="shared" si="28"/>
        <v>0</v>
      </c>
      <c r="R329" s="75" t="str">
        <f>VLOOKUP(H329,'3-Productie normen'!A:L,12,FALSE)</f>
        <v>L</v>
      </c>
      <c r="S329" s="75"/>
      <c r="U329" s="41">
        <f t="shared" si="29"/>
        <v>11310</v>
      </c>
    </row>
    <row r="330" spans="1:21" ht="14.1" customHeight="1">
      <c r="A330" s="54">
        <f t="shared" si="30"/>
        <v>330</v>
      </c>
      <c r="B330" s="70" t="s">
        <v>419</v>
      </c>
      <c r="C330" s="70"/>
      <c r="D330" s="419" t="s">
        <v>420</v>
      </c>
      <c r="E330" s="419">
        <v>1</v>
      </c>
      <c r="F330" s="84">
        <v>44</v>
      </c>
      <c r="G330" s="84" t="s">
        <v>252</v>
      </c>
      <c r="H330" s="84" t="s">
        <v>101</v>
      </c>
      <c r="I330" s="84" t="s">
        <v>225</v>
      </c>
      <c r="J330" s="465">
        <v>6.75</v>
      </c>
      <c r="K330" s="371">
        <f t="shared" ref="K330:K393" si="31">SUM(L330:M330)</f>
        <v>0</v>
      </c>
      <c r="L330" s="72" t="s">
        <v>101</v>
      </c>
      <c r="M330" s="72"/>
      <c r="N330" s="73">
        <f t="shared" ref="N330:N393" si="32">IF(L330="nio",0,IF(L330&gt;0,L330*J330/P330,0))</f>
        <v>0</v>
      </c>
      <c r="O330" s="73">
        <f t="shared" ref="O330:O393" si="33">IF(M330&gt;0,M330*J330/Q330,0)</f>
        <v>0</v>
      </c>
      <c r="P330" s="74">
        <f>IF(L330="nio",0,IF(L330&gt;0,VLOOKUP(H330,'3-Productie normen'!A:J,VLOOKUP(L330,'3-Productie normen'!$B$33:$C$38,2,FALSE),FALSE)))/VLOOKUP(B330,'2-Kosten per locatie'!$A$12:$C$23,3,FALSE)</f>
        <v>0</v>
      </c>
      <c r="Q330" s="74">
        <f t="shared" ref="Q330:Q393" si="34">IF(M330&gt;0,P330*$Q$8,0)</f>
        <v>0</v>
      </c>
      <c r="R330" s="75">
        <f>VLOOKUP(H330,'3-Productie normen'!A:L,12,FALSE)</f>
        <v>0</v>
      </c>
      <c r="S330" s="75"/>
      <c r="U330" s="41">
        <f t="shared" ref="U330:U393" si="35">K330*J330</f>
        <v>0</v>
      </c>
    </row>
    <row r="331" spans="1:21" ht="14.1" customHeight="1">
      <c r="A331" s="54">
        <f t="shared" si="30"/>
        <v>331</v>
      </c>
      <c r="B331" s="70" t="s">
        <v>419</v>
      </c>
      <c r="C331" s="70"/>
      <c r="D331" s="419" t="s">
        <v>420</v>
      </c>
      <c r="E331" s="419">
        <v>1</v>
      </c>
      <c r="F331" s="84">
        <v>45</v>
      </c>
      <c r="G331" s="84" t="s">
        <v>17</v>
      </c>
      <c r="H331" s="84" t="s">
        <v>17</v>
      </c>
      <c r="I331" s="84" t="s">
        <v>250</v>
      </c>
      <c r="J331" s="465">
        <v>6.7</v>
      </c>
      <c r="K331" s="371">
        <f t="shared" si="31"/>
        <v>200</v>
      </c>
      <c r="L331" s="72">
        <v>200</v>
      </c>
      <c r="M331" s="72"/>
      <c r="N331" s="73" t="e">
        <f t="shared" si="32"/>
        <v>#DIV/0!</v>
      </c>
      <c r="O331" s="73">
        <f t="shared" si="33"/>
        <v>0</v>
      </c>
      <c r="P331" s="74">
        <f>IF(L331="nio",0,IF(L331&gt;0,VLOOKUP(H331,'3-Productie normen'!A:J,VLOOKUP(L331,'3-Productie normen'!$B$33:$C$38,2,FALSE),FALSE)))/VLOOKUP(B331,'2-Kosten per locatie'!$A$12:$C$23,3,FALSE)</f>
        <v>0</v>
      </c>
      <c r="Q331" s="74">
        <f t="shared" si="34"/>
        <v>0</v>
      </c>
      <c r="R331" s="75" t="str">
        <f>VLOOKUP(H331,'3-Productie normen'!A:L,12,FALSE)</f>
        <v>S</v>
      </c>
      <c r="S331" s="75"/>
      <c r="U331" s="41">
        <f t="shared" si="35"/>
        <v>1340</v>
      </c>
    </row>
    <row r="332" spans="1:21" ht="14.1" customHeight="1">
      <c r="A332" s="54">
        <f t="shared" si="30"/>
        <v>332</v>
      </c>
      <c r="B332" s="70" t="s">
        <v>419</v>
      </c>
      <c r="C332" s="70"/>
      <c r="D332" s="419" t="s">
        <v>420</v>
      </c>
      <c r="E332" s="419">
        <v>1</v>
      </c>
      <c r="F332" s="84">
        <v>46</v>
      </c>
      <c r="G332" s="84" t="s">
        <v>248</v>
      </c>
      <c r="H332" s="84" t="s">
        <v>232</v>
      </c>
      <c r="I332" s="84" t="s">
        <v>245</v>
      </c>
      <c r="J332" s="465">
        <v>9.8800000000000008</v>
      </c>
      <c r="K332" s="371">
        <f t="shared" si="31"/>
        <v>200</v>
      </c>
      <c r="L332" s="72">
        <v>200</v>
      </c>
      <c r="M332" s="72"/>
      <c r="N332" s="73" t="e">
        <f t="shared" si="32"/>
        <v>#DIV/0!</v>
      </c>
      <c r="O332" s="73">
        <f t="shared" si="33"/>
        <v>0</v>
      </c>
      <c r="P332" s="74">
        <f>IF(L332="nio",0,IF(L332&gt;0,VLOOKUP(H332,'3-Productie normen'!A:J,VLOOKUP(L332,'3-Productie normen'!$B$33:$C$38,2,FALSE),FALSE)))/VLOOKUP(B332,'2-Kosten per locatie'!$A$12:$C$23,3,FALSE)</f>
        <v>0</v>
      </c>
      <c r="Q332" s="74">
        <f t="shared" si="34"/>
        <v>0</v>
      </c>
      <c r="R332" s="75" t="str">
        <f>VLOOKUP(H332,'3-Productie normen'!A:L,12,FALSE)</f>
        <v>V</v>
      </c>
      <c r="S332" s="75"/>
      <c r="U332" s="41">
        <f t="shared" si="35"/>
        <v>1976.0000000000002</v>
      </c>
    </row>
    <row r="333" spans="1:21" ht="14.1" customHeight="1">
      <c r="A333" s="54">
        <f t="shared" si="30"/>
        <v>333</v>
      </c>
      <c r="B333" s="70" t="s">
        <v>419</v>
      </c>
      <c r="C333" s="70"/>
      <c r="D333" s="419" t="s">
        <v>420</v>
      </c>
      <c r="E333" s="419" t="s">
        <v>89</v>
      </c>
      <c r="F333" s="84">
        <v>47</v>
      </c>
      <c r="G333" s="84" t="s">
        <v>17</v>
      </c>
      <c r="H333" s="84" t="s">
        <v>17</v>
      </c>
      <c r="I333" s="84" t="s">
        <v>245</v>
      </c>
      <c r="J333" s="465">
        <v>3.32</v>
      </c>
      <c r="K333" s="371">
        <f t="shared" si="31"/>
        <v>200</v>
      </c>
      <c r="L333" s="72">
        <v>200</v>
      </c>
      <c r="M333" s="72"/>
      <c r="N333" s="73" t="e">
        <f t="shared" si="32"/>
        <v>#DIV/0!</v>
      </c>
      <c r="O333" s="73">
        <f t="shared" si="33"/>
        <v>0</v>
      </c>
      <c r="P333" s="74">
        <f>IF(L333="nio",0,IF(L333&gt;0,VLOOKUP(H333,'3-Productie normen'!A:J,VLOOKUP(L333,'3-Productie normen'!$B$33:$C$38,2,FALSE),FALSE)))/VLOOKUP(B333,'2-Kosten per locatie'!$A$12:$C$23,3,FALSE)</f>
        <v>0</v>
      </c>
      <c r="Q333" s="74">
        <f t="shared" si="34"/>
        <v>0</v>
      </c>
      <c r="R333" s="75" t="str">
        <f>VLOOKUP(H333,'3-Productie normen'!A:L,12,FALSE)</f>
        <v>S</v>
      </c>
      <c r="S333" s="75"/>
      <c r="U333" s="41">
        <f t="shared" si="35"/>
        <v>664</v>
      </c>
    </row>
    <row r="334" spans="1:21" ht="14.1" customHeight="1">
      <c r="A334" s="54">
        <f t="shared" si="30"/>
        <v>334</v>
      </c>
      <c r="B334" s="70" t="s">
        <v>419</v>
      </c>
      <c r="C334" s="70"/>
      <c r="D334" s="419" t="s">
        <v>420</v>
      </c>
      <c r="E334" s="419" t="s">
        <v>89</v>
      </c>
      <c r="F334" s="84">
        <v>48</v>
      </c>
      <c r="G334" s="84" t="s">
        <v>176</v>
      </c>
      <c r="H334" s="84" t="s">
        <v>176</v>
      </c>
      <c r="I334" s="84" t="s">
        <v>225</v>
      </c>
      <c r="J334" s="465">
        <v>42.26</v>
      </c>
      <c r="K334" s="371">
        <f t="shared" si="31"/>
        <v>200</v>
      </c>
      <c r="L334" s="72">
        <v>200</v>
      </c>
      <c r="M334" s="72"/>
      <c r="N334" s="73" t="e">
        <f t="shared" si="32"/>
        <v>#DIV/0!</v>
      </c>
      <c r="O334" s="73">
        <f t="shared" si="33"/>
        <v>0</v>
      </c>
      <c r="P334" s="74">
        <f>IF(L334="nio",0,IF(L334&gt;0,VLOOKUP(H334,'3-Productie normen'!A:J,VLOOKUP(L334,'3-Productie normen'!$B$33:$C$38,2,FALSE),FALSE)))/VLOOKUP(B334,'2-Kosten per locatie'!$A$12:$C$23,3,FALSE)</f>
        <v>0</v>
      </c>
      <c r="Q334" s="74">
        <f t="shared" si="34"/>
        <v>0</v>
      </c>
      <c r="R334" s="75" t="str">
        <f>VLOOKUP(H334,'3-Productie normen'!A:L,12,FALSE)</f>
        <v>B</v>
      </c>
      <c r="S334" s="75"/>
      <c r="U334" s="41">
        <f t="shared" si="35"/>
        <v>8452</v>
      </c>
    </row>
    <row r="335" spans="1:21" ht="14.1" customHeight="1">
      <c r="A335" s="54">
        <f t="shared" si="30"/>
        <v>335</v>
      </c>
      <c r="B335" s="70" t="s">
        <v>419</v>
      </c>
      <c r="C335" s="70"/>
      <c r="D335" s="419" t="s">
        <v>420</v>
      </c>
      <c r="E335" s="419" t="s">
        <v>89</v>
      </c>
      <c r="F335" s="84">
        <v>49</v>
      </c>
      <c r="G335" s="84" t="s">
        <v>249</v>
      </c>
      <c r="H335" s="84" t="s">
        <v>231</v>
      </c>
      <c r="I335" s="84" t="s">
        <v>225</v>
      </c>
      <c r="J335" s="465">
        <v>34.44</v>
      </c>
      <c r="K335" s="371">
        <f t="shared" si="31"/>
        <v>200</v>
      </c>
      <c r="L335" s="72">
        <v>200</v>
      </c>
      <c r="M335" s="72"/>
      <c r="N335" s="73" t="e">
        <f t="shared" si="32"/>
        <v>#DIV/0!</v>
      </c>
      <c r="O335" s="73">
        <f t="shared" si="33"/>
        <v>0</v>
      </c>
      <c r="P335" s="74">
        <f>IF(L335="nio",0,IF(L335&gt;0,VLOOKUP(H335,'3-Productie normen'!A:J,VLOOKUP(L335,'3-Productie normen'!$B$33:$C$38,2,FALSE),FALSE)))/VLOOKUP(B335,'2-Kosten per locatie'!$A$12:$C$23,3,FALSE)</f>
        <v>0</v>
      </c>
      <c r="Q335" s="74">
        <f t="shared" si="34"/>
        <v>0</v>
      </c>
      <c r="R335" s="75" t="str">
        <f>VLOOKUP(H335,'3-Productie normen'!A:L,12,FALSE)</f>
        <v>L</v>
      </c>
      <c r="S335" s="75"/>
      <c r="U335" s="41">
        <f t="shared" si="35"/>
        <v>6888</v>
      </c>
    </row>
    <row r="336" spans="1:21" ht="14.1" customHeight="1">
      <c r="A336" s="54">
        <f t="shared" si="30"/>
        <v>336</v>
      </c>
      <c r="B336" s="70" t="s">
        <v>419</v>
      </c>
      <c r="C336" s="70"/>
      <c r="D336" s="419" t="s">
        <v>420</v>
      </c>
      <c r="E336" s="419" t="s">
        <v>89</v>
      </c>
      <c r="F336" s="84">
        <v>50</v>
      </c>
      <c r="G336" s="84" t="s">
        <v>252</v>
      </c>
      <c r="H336" s="84" t="s">
        <v>101</v>
      </c>
      <c r="I336" s="84" t="s">
        <v>225</v>
      </c>
      <c r="J336" s="465">
        <v>1.85</v>
      </c>
      <c r="K336" s="371">
        <f t="shared" si="31"/>
        <v>0</v>
      </c>
      <c r="L336" s="72" t="s">
        <v>101</v>
      </c>
      <c r="M336" s="72"/>
      <c r="N336" s="73">
        <f t="shared" si="32"/>
        <v>0</v>
      </c>
      <c r="O336" s="73">
        <f t="shared" si="33"/>
        <v>0</v>
      </c>
      <c r="P336" s="74">
        <f>IF(L336="nio",0,IF(L336&gt;0,VLOOKUP(H336,'3-Productie normen'!A:J,VLOOKUP(L336,'3-Productie normen'!$B$33:$C$38,2,FALSE),FALSE)))/VLOOKUP(B336,'2-Kosten per locatie'!$A$12:$C$23,3,FALSE)</f>
        <v>0</v>
      </c>
      <c r="Q336" s="74">
        <f t="shared" si="34"/>
        <v>0</v>
      </c>
      <c r="R336" s="75">
        <f>VLOOKUP(H336,'3-Productie normen'!A:L,12,FALSE)</f>
        <v>0</v>
      </c>
      <c r="S336" s="75"/>
      <c r="U336" s="41">
        <f t="shared" si="35"/>
        <v>0</v>
      </c>
    </row>
    <row r="337" spans="1:21" ht="14.1" customHeight="1">
      <c r="A337" s="54">
        <f t="shared" si="30"/>
        <v>337</v>
      </c>
      <c r="B337" s="70" t="s">
        <v>419</v>
      </c>
      <c r="C337" s="70"/>
      <c r="D337" s="419" t="s">
        <v>420</v>
      </c>
      <c r="E337" s="419" t="s">
        <v>89</v>
      </c>
      <c r="F337" s="84">
        <v>51</v>
      </c>
      <c r="G337" s="84" t="s">
        <v>247</v>
      </c>
      <c r="H337" s="84" t="s">
        <v>90</v>
      </c>
      <c r="I337" s="84" t="s">
        <v>225</v>
      </c>
      <c r="J337" s="465">
        <v>6.51</v>
      </c>
      <c r="K337" s="371">
        <f t="shared" si="31"/>
        <v>200</v>
      </c>
      <c r="L337" s="72">
        <v>200</v>
      </c>
      <c r="M337" s="72"/>
      <c r="N337" s="73" t="e">
        <f t="shared" si="32"/>
        <v>#DIV/0!</v>
      </c>
      <c r="O337" s="73">
        <f t="shared" si="33"/>
        <v>0</v>
      </c>
      <c r="P337" s="74">
        <f>IF(L337="nio",0,IF(L337&gt;0,VLOOKUP(H337,'3-Productie normen'!A:J,VLOOKUP(L337,'3-Productie normen'!$B$33:$C$38,2,FALSE),FALSE)))/VLOOKUP(B337,'2-Kosten per locatie'!$A$12:$C$23,3,FALSE)</f>
        <v>0</v>
      </c>
      <c r="Q337" s="74">
        <f t="shared" si="34"/>
        <v>0</v>
      </c>
      <c r="R337" s="75" t="str">
        <f>VLOOKUP(H337,'3-Productie normen'!A:L,12,FALSE)</f>
        <v>V</v>
      </c>
      <c r="S337" s="75"/>
      <c r="U337" s="41">
        <f t="shared" si="35"/>
        <v>1302</v>
      </c>
    </row>
    <row r="338" spans="1:21" ht="14.1" customHeight="1">
      <c r="A338" s="54">
        <f t="shared" si="30"/>
        <v>338</v>
      </c>
      <c r="B338" s="70" t="s">
        <v>419</v>
      </c>
      <c r="C338" s="70"/>
      <c r="D338" s="419" t="s">
        <v>420</v>
      </c>
      <c r="E338" s="419" t="s">
        <v>89</v>
      </c>
      <c r="F338" s="84">
        <v>52</v>
      </c>
      <c r="G338" s="84" t="s">
        <v>17</v>
      </c>
      <c r="H338" s="84" t="s">
        <v>17</v>
      </c>
      <c r="I338" s="84" t="s">
        <v>225</v>
      </c>
      <c r="J338" s="465">
        <v>8.2200000000000006</v>
      </c>
      <c r="K338" s="371">
        <f t="shared" si="31"/>
        <v>200</v>
      </c>
      <c r="L338" s="72">
        <v>200</v>
      </c>
      <c r="M338" s="72"/>
      <c r="N338" s="73" t="e">
        <f t="shared" si="32"/>
        <v>#DIV/0!</v>
      </c>
      <c r="O338" s="73">
        <f t="shared" si="33"/>
        <v>0</v>
      </c>
      <c r="P338" s="74">
        <f>IF(L338="nio",0,IF(L338&gt;0,VLOOKUP(H338,'3-Productie normen'!A:J,VLOOKUP(L338,'3-Productie normen'!$B$33:$C$38,2,FALSE),FALSE)))/VLOOKUP(B338,'2-Kosten per locatie'!$A$12:$C$23,3,FALSE)</f>
        <v>0</v>
      </c>
      <c r="Q338" s="74">
        <f t="shared" si="34"/>
        <v>0</v>
      </c>
      <c r="R338" s="75" t="str">
        <f>VLOOKUP(H338,'3-Productie normen'!A:L,12,FALSE)</f>
        <v>S</v>
      </c>
      <c r="S338" s="75"/>
      <c r="U338" s="41">
        <f t="shared" si="35"/>
        <v>1644.0000000000002</v>
      </c>
    </row>
    <row r="339" spans="1:21" ht="14.1" customHeight="1">
      <c r="A339" s="54">
        <f t="shared" si="30"/>
        <v>339</v>
      </c>
      <c r="B339" s="70" t="s">
        <v>419</v>
      </c>
      <c r="C339" s="70"/>
      <c r="D339" s="419" t="s">
        <v>420</v>
      </c>
      <c r="E339" s="419" t="s">
        <v>89</v>
      </c>
      <c r="F339" s="84">
        <v>53</v>
      </c>
      <c r="G339" s="84" t="s">
        <v>240</v>
      </c>
      <c r="H339" s="84" t="s">
        <v>240</v>
      </c>
      <c r="I339" s="84" t="s">
        <v>225</v>
      </c>
      <c r="J339" s="465">
        <v>52.04</v>
      </c>
      <c r="K339" s="371">
        <f t="shared" si="31"/>
        <v>200</v>
      </c>
      <c r="L339" s="72">
        <v>200</v>
      </c>
      <c r="M339" s="72"/>
      <c r="N339" s="73" t="e">
        <f t="shared" si="32"/>
        <v>#DIV/0!</v>
      </c>
      <c r="O339" s="73">
        <f t="shared" si="33"/>
        <v>0</v>
      </c>
      <c r="P339" s="74">
        <f>IF(L339="nio",0,IF(L339&gt;0,VLOOKUP(H339,'3-Productie normen'!A:J,VLOOKUP(L339,'3-Productie normen'!$B$33:$C$38,2,FALSE),FALSE)))/VLOOKUP(B339,'2-Kosten per locatie'!$A$12:$C$23,3,FALSE)</f>
        <v>0</v>
      </c>
      <c r="Q339" s="74">
        <f t="shared" si="34"/>
        <v>0</v>
      </c>
      <c r="R339" s="75" t="str">
        <f>VLOOKUP(H339,'3-Productie normen'!A:L,12,FALSE)</f>
        <v>V</v>
      </c>
      <c r="S339" s="75"/>
      <c r="U339" s="41">
        <f t="shared" si="35"/>
        <v>10408</v>
      </c>
    </row>
    <row r="340" spans="1:21" ht="14.1" customHeight="1">
      <c r="A340" s="54">
        <f t="shared" si="30"/>
        <v>340</v>
      </c>
      <c r="B340" s="70" t="s">
        <v>419</v>
      </c>
      <c r="C340" s="70"/>
      <c r="D340" s="419" t="s">
        <v>420</v>
      </c>
      <c r="E340" s="419" t="s">
        <v>89</v>
      </c>
      <c r="F340" s="84">
        <v>54</v>
      </c>
      <c r="G340" s="84" t="s">
        <v>252</v>
      </c>
      <c r="H340" s="84" t="s">
        <v>101</v>
      </c>
      <c r="I340" s="84" t="s">
        <v>225</v>
      </c>
      <c r="J340" s="465">
        <v>16.88</v>
      </c>
      <c r="K340" s="371">
        <f t="shared" si="31"/>
        <v>0</v>
      </c>
      <c r="L340" s="72" t="s">
        <v>101</v>
      </c>
      <c r="M340" s="72"/>
      <c r="N340" s="73">
        <f t="shared" si="32"/>
        <v>0</v>
      </c>
      <c r="O340" s="73">
        <f t="shared" si="33"/>
        <v>0</v>
      </c>
      <c r="P340" s="74">
        <f>IF(L340="nio",0,IF(L340&gt;0,VLOOKUP(H340,'3-Productie normen'!A:J,VLOOKUP(L340,'3-Productie normen'!$B$33:$C$38,2,FALSE),FALSE)))/VLOOKUP(B340,'2-Kosten per locatie'!$A$12:$C$23,3,FALSE)</f>
        <v>0</v>
      </c>
      <c r="Q340" s="74">
        <f t="shared" si="34"/>
        <v>0</v>
      </c>
      <c r="R340" s="75">
        <f>VLOOKUP(H340,'3-Productie normen'!A:L,12,FALSE)</f>
        <v>0</v>
      </c>
      <c r="S340" s="75"/>
      <c r="U340" s="41">
        <f t="shared" si="35"/>
        <v>0</v>
      </c>
    </row>
    <row r="341" spans="1:21" ht="14.1" customHeight="1">
      <c r="A341" s="54">
        <f t="shared" si="30"/>
        <v>341</v>
      </c>
      <c r="B341" s="70" t="s">
        <v>421</v>
      </c>
      <c r="C341" s="70"/>
      <c r="D341" s="419" t="s">
        <v>422</v>
      </c>
      <c r="E341" s="419" t="s">
        <v>89</v>
      </c>
      <c r="F341" s="84">
        <v>1</v>
      </c>
      <c r="G341" s="84" t="s">
        <v>247</v>
      </c>
      <c r="H341" s="84" t="s">
        <v>90</v>
      </c>
      <c r="I341" s="84" t="s">
        <v>245</v>
      </c>
      <c r="J341" s="465">
        <v>12.68</v>
      </c>
      <c r="K341" s="371">
        <f t="shared" si="31"/>
        <v>200</v>
      </c>
      <c r="L341" s="72">
        <v>200</v>
      </c>
      <c r="M341" s="72"/>
      <c r="N341" s="73" t="e">
        <f t="shared" si="32"/>
        <v>#DIV/0!</v>
      </c>
      <c r="O341" s="73">
        <f t="shared" si="33"/>
        <v>0</v>
      </c>
      <c r="P341" s="74">
        <f>IF(L341="nio",0,IF(L341&gt;0,VLOOKUP(H341,'3-Productie normen'!A:J,VLOOKUP(L341,'3-Productie normen'!$B$33:$C$38,2,FALSE),FALSE)))/VLOOKUP(B341,'2-Kosten per locatie'!$A$12:$C$23,3,FALSE)</f>
        <v>0</v>
      </c>
      <c r="Q341" s="74">
        <f t="shared" si="34"/>
        <v>0</v>
      </c>
      <c r="R341" s="75" t="str">
        <f>VLOOKUP(H341,'3-Productie normen'!A:L,12,FALSE)</f>
        <v>V</v>
      </c>
      <c r="S341" s="75"/>
      <c r="U341" s="41">
        <f t="shared" si="35"/>
        <v>2536</v>
      </c>
    </row>
    <row r="342" spans="1:21" ht="14.1" customHeight="1">
      <c r="A342" s="54">
        <f t="shared" si="30"/>
        <v>342</v>
      </c>
      <c r="B342" s="70" t="s">
        <v>421</v>
      </c>
      <c r="C342" s="70"/>
      <c r="D342" s="419" t="s">
        <v>422</v>
      </c>
      <c r="E342" s="419" t="s">
        <v>89</v>
      </c>
      <c r="F342" s="84">
        <v>2</v>
      </c>
      <c r="G342" s="84" t="s">
        <v>248</v>
      </c>
      <c r="H342" s="84" t="s">
        <v>232</v>
      </c>
      <c r="I342" s="84" t="s">
        <v>245</v>
      </c>
      <c r="J342" s="465">
        <v>20.14</v>
      </c>
      <c r="K342" s="371">
        <f t="shared" si="31"/>
        <v>200</v>
      </c>
      <c r="L342" s="72">
        <v>200</v>
      </c>
      <c r="M342" s="72"/>
      <c r="N342" s="73" t="e">
        <f t="shared" si="32"/>
        <v>#DIV/0!</v>
      </c>
      <c r="O342" s="73">
        <f t="shared" si="33"/>
        <v>0</v>
      </c>
      <c r="P342" s="74">
        <f>IF(L342="nio",0,IF(L342&gt;0,VLOOKUP(H342,'3-Productie normen'!A:J,VLOOKUP(L342,'3-Productie normen'!$B$33:$C$38,2,FALSE),FALSE)))/VLOOKUP(B342,'2-Kosten per locatie'!$A$12:$C$23,3,FALSE)</f>
        <v>0</v>
      </c>
      <c r="Q342" s="74">
        <f t="shared" si="34"/>
        <v>0</v>
      </c>
      <c r="R342" s="75" t="str">
        <f>VLOOKUP(H342,'3-Productie normen'!A:L,12,FALSE)</f>
        <v>V</v>
      </c>
      <c r="S342" s="75"/>
      <c r="U342" s="41">
        <f t="shared" si="35"/>
        <v>4028</v>
      </c>
    </row>
    <row r="343" spans="1:21" ht="14.1" customHeight="1">
      <c r="A343" s="54">
        <f t="shared" si="30"/>
        <v>343</v>
      </c>
      <c r="B343" s="70" t="s">
        <v>421</v>
      </c>
      <c r="C343" s="70"/>
      <c r="D343" s="419" t="s">
        <v>422</v>
      </c>
      <c r="E343" s="419" t="s">
        <v>89</v>
      </c>
      <c r="F343" s="84">
        <v>3</v>
      </c>
      <c r="G343" s="84" t="s">
        <v>248</v>
      </c>
      <c r="H343" s="84" t="s">
        <v>232</v>
      </c>
      <c r="I343" s="84" t="s">
        <v>227</v>
      </c>
      <c r="J343" s="465">
        <v>8.74</v>
      </c>
      <c r="K343" s="371">
        <f t="shared" si="31"/>
        <v>200</v>
      </c>
      <c r="L343" s="72">
        <v>200</v>
      </c>
      <c r="M343" s="72"/>
      <c r="N343" s="73" t="e">
        <f t="shared" si="32"/>
        <v>#DIV/0!</v>
      </c>
      <c r="O343" s="73">
        <f t="shared" si="33"/>
        <v>0</v>
      </c>
      <c r="P343" s="74">
        <f>IF(L343="nio",0,IF(L343&gt;0,VLOOKUP(H343,'3-Productie normen'!A:J,VLOOKUP(L343,'3-Productie normen'!$B$33:$C$38,2,FALSE),FALSE)))/VLOOKUP(B343,'2-Kosten per locatie'!$A$12:$C$23,3,FALSE)</f>
        <v>0</v>
      </c>
      <c r="Q343" s="74">
        <f t="shared" si="34"/>
        <v>0</v>
      </c>
      <c r="R343" s="75" t="str">
        <f>VLOOKUP(H343,'3-Productie normen'!A:L,12,FALSE)</f>
        <v>V</v>
      </c>
      <c r="S343" s="75"/>
      <c r="U343" s="41">
        <f t="shared" si="35"/>
        <v>1748</v>
      </c>
    </row>
    <row r="344" spans="1:21" ht="14.1" customHeight="1">
      <c r="A344" s="54">
        <f t="shared" si="30"/>
        <v>344</v>
      </c>
      <c r="B344" s="70" t="s">
        <v>421</v>
      </c>
      <c r="C344" s="70"/>
      <c r="D344" s="419" t="s">
        <v>422</v>
      </c>
      <c r="E344" s="419" t="s">
        <v>89</v>
      </c>
      <c r="F344" s="84">
        <v>4</v>
      </c>
      <c r="G344" s="84" t="s">
        <v>176</v>
      </c>
      <c r="H344" s="84" t="s">
        <v>176</v>
      </c>
      <c r="I344" s="84" t="s">
        <v>225</v>
      </c>
      <c r="J344" s="465">
        <v>19.62</v>
      </c>
      <c r="K344" s="371">
        <f t="shared" si="31"/>
        <v>200</v>
      </c>
      <c r="L344" s="72">
        <v>200</v>
      </c>
      <c r="M344" s="72"/>
      <c r="N344" s="73" t="e">
        <f t="shared" si="32"/>
        <v>#DIV/0!</v>
      </c>
      <c r="O344" s="73">
        <f t="shared" si="33"/>
        <v>0</v>
      </c>
      <c r="P344" s="74">
        <f>IF(L344="nio",0,IF(L344&gt;0,VLOOKUP(H344,'3-Productie normen'!A:J,VLOOKUP(L344,'3-Productie normen'!$B$33:$C$38,2,FALSE),FALSE)))/VLOOKUP(B344,'2-Kosten per locatie'!$A$12:$C$23,3,FALSE)</f>
        <v>0</v>
      </c>
      <c r="Q344" s="74">
        <f t="shared" si="34"/>
        <v>0</v>
      </c>
      <c r="R344" s="75" t="str">
        <f>VLOOKUP(H344,'3-Productie normen'!A:L,12,FALSE)</f>
        <v>B</v>
      </c>
      <c r="S344" s="75"/>
      <c r="U344" s="41">
        <f t="shared" si="35"/>
        <v>3924</v>
      </c>
    </row>
    <row r="345" spans="1:21" ht="14.1" customHeight="1">
      <c r="A345" s="54">
        <f t="shared" si="30"/>
        <v>345</v>
      </c>
      <c r="B345" s="70" t="s">
        <v>421</v>
      </c>
      <c r="C345" s="70"/>
      <c r="D345" s="419" t="s">
        <v>422</v>
      </c>
      <c r="E345" s="419" t="s">
        <v>89</v>
      </c>
      <c r="F345" s="84">
        <v>5</v>
      </c>
      <c r="G345" s="84" t="s">
        <v>248</v>
      </c>
      <c r="H345" s="84" t="s">
        <v>232</v>
      </c>
      <c r="I345" s="84" t="s">
        <v>225</v>
      </c>
      <c r="J345" s="465">
        <v>4.63</v>
      </c>
      <c r="K345" s="371">
        <f t="shared" si="31"/>
        <v>200</v>
      </c>
      <c r="L345" s="72">
        <v>200</v>
      </c>
      <c r="M345" s="72"/>
      <c r="N345" s="73" t="e">
        <f t="shared" si="32"/>
        <v>#DIV/0!</v>
      </c>
      <c r="O345" s="73">
        <f t="shared" si="33"/>
        <v>0</v>
      </c>
      <c r="P345" s="74">
        <f>IF(L345="nio",0,IF(L345&gt;0,VLOOKUP(H345,'3-Productie normen'!A:J,VLOOKUP(L345,'3-Productie normen'!$B$33:$C$38,2,FALSE),FALSE)))/VLOOKUP(B345,'2-Kosten per locatie'!$A$12:$C$23,3,FALSE)</f>
        <v>0</v>
      </c>
      <c r="Q345" s="74">
        <f t="shared" si="34"/>
        <v>0</v>
      </c>
      <c r="R345" s="75" t="str">
        <f>VLOOKUP(H345,'3-Productie normen'!A:L,12,FALSE)</f>
        <v>V</v>
      </c>
      <c r="S345" s="75"/>
      <c r="U345" s="41">
        <f t="shared" si="35"/>
        <v>926</v>
      </c>
    </row>
    <row r="346" spans="1:21" ht="14.1" customHeight="1">
      <c r="A346" s="54">
        <f t="shared" si="30"/>
        <v>346</v>
      </c>
      <c r="B346" s="70" t="s">
        <v>421</v>
      </c>
      <c r="C346" s="70"/>
      <c r="D346" s="419" t="s">
        <v>422</v>
      </c>
      <c r="E346" s="419" t="s">
        <v>89</v>
      </c>
      <c r="F346" s="84">
        <v>6</v>
      </c>
      <c r="G346" s="84" t="s">
        <v>1</v>
      </c>
      <c r="H346" s="84" t="s">
        <v>1</v>
      </c>
      <c r="I346" s="84" t="s">
        <v>245</v>
      </c>
      <c r="J346" s="465">
        <v>14.61</v>
      </c>
      <c r="K346" s="371">
        <f t="shared" si="31"/>
        <v>200</v>
      </c>
      <c r="L346" s="72">
        <v>200</v>
      </c>
      <c r="M346" s="72"/>
      <c r="N346" s="73" t="e">
        <f t="shared" si="32"/>
        <v>#DIV/0!</v>
      </c>
      <c r="O346" s="73">
        <f t="shared" si="33"/>
        <v>0</v>
      </c>
      <c r="P346" s="74">
        <f>IF(L346="nio",0,IF(L346&gt;0,VLOOKUP(H346,'3-Productie normen'!A:J,VLOOKUP(L346,'3-Productie normen'!$B$33:$C$38,2,FALSE),FALSE)))/VLOOKUP(B346,'2-Kosten per locatie'!$A$12:$C$23,3,FALSE)</f>
        <v>0</v>
      </c>
      <c r="Q346" s="74">
        <f t="shared" si="34"/>
        <v>0</v>
      </c>
      <c r="R346" s="75" t="str">
        <f>VLOOKUP(H346,'3-Productie normen'!A:L,12,FALSE)</f>
        <v>V</v>
      </c>
      <c r="S346" s="75"/>
      <c r="U346" s="41">
        <f t="shared" si="35"/>
        <v>2922</v>
      </c>
    </row>
    <row r="347" spans="1:21" ht="14.1" customHeight="1">
      <c r="A347" s="54">
        <f t="shared" si="30"/>
        <v>347</v>
      </c>
      <c r="B347" s="70" t="s">
        <v>421</v>
      </c>
      <c r="C347" s="70"/>
      <c r="D347" s="418" t="s">
        <v>422</v>
      </c>
      <c r="E347" s="418" t="s">
        <v>89</v>
      </c>
      <c r="F347" s="81">
        <v>7</v>
      </c>
      <c r="G347" s="81" t="s">
        <v>1</v>
      </c>
      <c r="H347" s="81" t="s">
        <v>1</v>
      </c>
      <c r="I347" s="81" t="s">
        <v>245</v>
      </c>
      <c r="J347" s="461">
        <v>13.84</v>
      </c>
      <c r="K347" s="371">
        <f t="shared" si="31"/>
        <v>200</v>
      </c>
      <c r="L347" s="72">
        <v>200</v>
      </c>
      <c r="M347" s="72"/>
      <c r="N347" s="73" t="e">
        <f t="shared" si="32"/>
        <v>#DIV/0!</v>
      </c>
      <c r="O347" s="73">
        <f t="shared" si="33"/>
        <v>0</v>
      </c>
      <c r="P347" s="74">
        <f>IF(L347="nio",0,IF(L347&gt;0,VLOOKUP(H347,'3-Productie normen'!A:J,VLOOKUP(L347,'3-Productie normen'!$B$33:$C$38,2,FALSE),FALSE)))/VLOOKUP(B347,'2-Kosten per locatie'!$A$12:$C$23,3,FALSE)</f>
        <v>0</v>
      </c>
      <c r="Q347" s="74">
        <f t="shared" si="34"/>
        <v>0</v>
      </c>
      <c r="R347" s="75" t="str">
        <f>VLOOKUP(H347,'3-Productie normen'!A:L,12,FALSE)</f>
        <v>V</v>
      </c>
      <c r="S347" s="75"/>
      <c r="U347" s="41">
        <f t="shared" si="35"/>
        <v>2768</v>
      </c>
    </row>
    <row r="348" spans="1:21" ht="14.1" customHeight="1">
      <c r="A348" s="54">
        <f t="shared" si="30"/>
        <v>348</v>
      </c>
      <c r="B348" s="70" t="s">
        <v>421</v>
      </c>
      <c r="C348" s="70"/>
      <c r="D348" s="418" t="s">
        <v>422</v>
      </c>
      <c r="E348" s="418" t="s">
        <v>89</v>
      </c>
      <c r="F348" s="81">
        <v>8</v>
      </c>
      <c r="G348" s="81" t="s">
        <v>236</v>
      </c>
      <c r="H348" s="81" t="s">
        <v>236</v>
      </c>
      <c r="I348" s="81" t="s">
        <v>264</v>
      </c>
      <c r="J348" s="461">
        <v>166.77</v>
      </c>
      <c r="K348" s="371">
        <f t="shared" si="31"/>
        <v>200</v>
      </c>
      <c r="L348" s="72">
        <v>200</v>
      </c>
      <c r="M348" s="72"/>
      <c r="N348" s="73" t="e">
        <f t="shared" si="32"/>
        <v>#DIV/0!</v>
      </c>
      <c r="O348" s="73">
        <f t="shared" si="33"/>
        <v>0</v>
      </c>
      <c r="P348" s="74">
        <f>IF(L348="nio",0,IF(L348&gt;0,VLOOKUP(H348,'3-Productie normen'!A:J,VLOOKUP(L348,'3-Productie normen'!$B$33:$C$38,2,FALSE),FALSE)))/VLOOKUP(B348,'2-Kosten per locatie'!$A$12:$C$23,3,FALSE)</f>
        <v>0</v>
      </c>
      <c r="Q348" s="74">
        <f t="shared" si="34"/>
        <v>0</v>
      </c>
      <c r="R348" s="75" t="str">
        <f>VLOOKUP(H348,'3-Productie normen'!A:L,12,FALSE)</f>
        <v>V</v>
      </c>
      <c r="S348" s="75"/>
      <c r="U348" s="41">
        <f t="shared" si="35"/>
        <v>33354</v>
      </c>
    </row>
    <row r="349" spans="1:21" ht="14.1" customHeight="1">
      <c r="A349" s="54">
        <f t="shared" si="30"/>
        <v>349</v>
      </c>
      <c r="B349" s="70" t="s">
        <v>421</v>
      </c>
      <c r="C349" s="70"/>
      <c r="D349" s="418" t="s">
        <v>422</v>
      </c>
      <c r="E349" s="418" t="s">
        <v>89</v>
      </c>
      <c r="F349" s="81">
        <v>9</v>
      </c>
      <c r="G349" s="81" t="s">
        <v>248</v>
      </c>
      <c r="H349" s="81" t="s">
        <v>232</v>
      </c>
      <c r="I349" s="81" t="s">
        <v>245</v>
      </c>
      <c r="J349" s="461">
        <v>104.09</v>
      </c>
      <c r="K349" s="371">
        <f t="shared" si="31"/>
        <v>200</v>
      </c>
      <c r="L349" s="72">
        <v>200</v>
      </c>
      <c r="M349" s="72"/>
      <c r="N349" s="73" t="e">
        <f t="shared" si="32"/>
        <v>#DIV/0!</v>
      </c>
      <c r="O349" s="73">
        <f t="shared" si="33"/>
        <v>0</v>
      </c>
      <c r="P349" s="74">
        <f>IF(L349="nio",0,IF(L349&gt;0,VLOOKUP(H349,'3-Productie normen'!A:J,VLOOKUP(L349,'3-Productie normen'!$B$33:$C$38,2,FALSE),FALSE)))/VLOOKUP(B349,'2-Kosten per locatie'!$A$12:$C$23,3,FALSE)</f>
        <v>0</v>
      </c>
      <c r="Q349" s="74">
        <f t="shared" si="34"/>
        <v>0</v>
      </c>
      <c r="R349" s="75" t="str">
        <f>VLOOKUP(H349,'3-Productie normen'!A:L,12,FALSE)</f>
        <v>V</v>
      </c>
      <c r="S349" s="75"/>
      <c r="U349" s="41">
        <f t="shared" si="35"/>
        <v>20818</v>
      </c>
    </row>
    <row r="350" spans="1:21" ht="14.1" customHeight="1">
      <c r="A350" s="54">
        <f t="shared" si="30"/>
        <v>350</v>
      </c>
      <c r="B350" s="70" t="s">
        <v>421</v>
      </c>
      <c r="C350" s="70"/>
      <c r="D350" s="418" t="s">
        <v>422</v>
      </c>
      <c r="E350" s="418" t="s">
        <v>89</v>
      </c>
      <c r="F350" s="81">
        <v>10</v>
      </c>
      <c r="G350" s="81" t="s">
        <v>249</v>
      </c>
      <c r="H350" s="81" t="s">
        <v>231</v>
      </c>
      <c r="I350" s="81" t="s">
        <v>225</v>
      </c>
      <c r="J350" s="461">
        <v>43.2</v>
      </c>
      <c r="K350" s="371">
        <f t="shared" si="31"/>
        <v>200</v>
      </c>
      <c r="L350" s="72">
        <v>200</v>
      </c>
      <c r="M350" s="72"/>
      <c r="N350" s="73" t="e">
        <f t="shared" si="32"/>
        <v>#DIV/0!</v>
      </c>
      <c r="O350" s="73">
        <f t="shared" si="33"/>
        <v>0</v>
      </c>
      <c r="P350" s="74">
        <f>IF(L350="nio",0,IF(L350&gt;0,VLOOKUP(H350,'3-Productie normen'!A:J,VLOOKUP(L350,'3-Productie normen'!$B$33:$C$38,2,FALSE),FALSE)))/VLOOKUP(B350,'2-Kosten per locatie'!$A$12:$C$23,3,FALSE)</f>
        <v>0</v>
      </c>
      <c r="Q350" s="74">
        <f t="shared" si="34"/>
        <v>0</v>
      </c>
      <c r="R350" s="75" t="str">
        <f>VLOOKUP(H350,'3-Productie normen'!A:L,12,FALSE)</f>
        <v>L</v>
      </c>
      <c r="S350" s="75"/>
      <c r="U350" s="41">
        <f t="shared" si="35"/>
        <v>8640</v>
      </c>
    </row>
    <row r="351" spans="1:21" ht="14.1" customHeight="1">
      <c r="A351" s="54">
        <f t="shared" si="30"/>
        <v>351</v>
      </c>
      <c r="B351" s="70" t="s">
        <v>421</v>
      </c>
      <c r="C351" s="70"/>
      <c r="D351" s="416" t="s">
        <v>422</v>
      </c>
      <c r="E351" s="416" t="s">
        <v>89</v>
      </c>
      <c r="F351" s="79">
        <v>11</v>
      </c>
      <c r="G351" s="80" t="s">
        <v>233</v>
      </c>
      <c r="H351" s="80" t="s">
        <v>233</v>
      </c>
      <c r="I351" s="40" t="s">
        <v>225</v>
      </c>
      <c r="J351" s="460">
        <v>43.26</v>
      </c>
      <c r="K351" s="371">
        <f t="shared" si="31"/>
        <v>200</v>
      </c>
      <c r="L351" s="72">
        <v>200</v>
      </c>
      <c r="M351" s="72"/>
      <c r="N351" s="73" t="e">
        <f t="shared" si="32"/>
        <v>#DIV/0!</v>
      </c>
      <c r="O351" s="73">
        <f t="shared" si="33"/>
        <v>0</v>
      </c>
      <c r="P351" s="74">
        <f>IF(L351="nio",0,IF(L351&gt;0,VLOOKUP(H351,'3-Productie normen'!A:J,VLOOKUP(L351,'3-Productie normen'!$B$33:$C$38,2,FALSE),FALSE)))/VLOOKUP(B351,'2-Kosten per locatie'!$A$12:$C$23,3,FALSE)</f>
        <v>0</v>
      </c>
      <c r="Q351" s="74">
        <f t="shared" si="34"/>
        <v>0</v>
      </c>
      <c r="R351" s="75" t="str">
        <f>VLOOKUP(H351,'3-Productie normen'!A:L,12,FALSE)</f>
        <v>L</v>
      </c>
      <c r="S351" s="75"/>
      <c r="U351" s="41">
        <f t="shared" si="35"/>
        <v>8652</v>
      </c>
    </row>
    <row r="352" spans="1:21" ht="14.1" customHeight="1">
      <c r="A352" s="54">
        <f t="shared" si="30"/>
        <v>352</v>
      </c>
      <c r="B352" s="70" t="s">
        <v>421</v>
      </c>
      <c r="C352" s="70"/>
      <c r="D352" s="416" t="s">
        <v>422</v>
      </c>
      <c r="E352" s="416" t="s">
        <v>89</v>
      </c>
      <c r="F352" s="71">
        <v>12</v>
      </c>
      <c r="G352" s="40" t="s">
        <v>233</v>
      </c>
      <c r="H352" s="40" t="s">
        <v>233</v>
      </c>
      <c r="I352" s="78" t="s">
        <v>225</v>
      </c>
      <c r="J352" s="460">
        <v>43.26</v>
      </c>
      <c r="K352" s="371">
        <f t="shared" si="31"/>
        <v>200</v>
      </c>
      <c r="L352" s="72">
        <v>200</v>
      </c>
      <c r="M352" s="72"/>
      <c r="N352" s="73" t="e">
        <f t="shared" si="32"/>
        <v>#DIV/0!</v>
      </c>
      <c r="O352" s="73">
        <f t="shared" si="33"/>
        <v>0</v>
      </c>
      <c r="P352" s="74">
        <f>IF(L352="nio",0,IF(L352&gt;0,VLOOKUP(H352,'3-Productie normen'!A:J,VLOOKUP(L352,'3-Productie normen'!$B$33:$C$38,2,FALSE),FALSE)))/VLOOKUP(B352,'2-Kosten per locatie'!$A$12:$C$23,3,FALSE)</f>
        <v>0</v>
      </c>
      <c r="Q352" s="74">
        <f t="shared" si="34"/>
        <v>0</v>
      </c>
      <c r="R352" s="75" t="str">
        <f>VLOOKUP(H352,'3-Productie normen'!A:L,12,FALSE)</f>
        <v>L</v>
      </c>
      <c r="S352" s="75"/>
      <c r="U352" s="41">
        <f t="shared" si="35"/>
        <v>8652</v>
      </c>
    </row>
    <row r="353" spans="1:21" ht="14.1" customHeight="1">
      <c r="A353" s="54">
        <f t="shared" si="30"/>
        <v>353</v>
      </c>
      <c r="B353" s="70" t="s">
        <v>421</v>
      </c>
      <c r="C353" s="70"/>
      <c r="D353" s="417" t="s">
        <v>422</v>
      </c>
      <c r="E353" s="417" t="s">
        <v>89</v>
      </c>
      <c r="F353" s="79">
        <v>13</v>
      </c>
      <c r="G353" s="80" t="s">
        <v>233</v>
      </c>
      <c r="H353" s="80" t="s">
        <v>233</v>
      </c>
      <c r="I353" s="40" t="s">
        <v>225</v>
      </c>
      <c r="J353" s="460">
        <v>43.26</v>
      </c>
      <c r="K353" s="371">
        <f t="shared" si="31"/>
        <v>200</v>
      </c>
      <c r="L353" s="72">
        <v>200</v>
      </c>
      <c r="M353" s="72"/>
      <c r="N353" s="73" t="e">
        <f t="shared" si="32"/>
        <v>#DIV/0!</v>
      </c>
      <c r="O353" s="73">
        <f t="shared" si="33"/>
        <v>0</v>
      </c>
      <c r="P353" s="74">
        <f>IF(L353="nio",0,IF(L353&gt;0,VLOOKUP(H353,'3-Productie normen'!A:J,VLOOKUP(L353,'3-Productie normen'!$B$33:$C$38,2,FALSE),FALSE)))/VLOOKUP(B353,'2-Kosten per locatie'!$A$12:$C$23,3,FALSE)</f>
        <v>0</v>
      </c>
      <c r="Q353" s="74">
        <f t="shared" si="34"/>
        <v>0</v>
      </c>
      <c r="R353" s="75" t="str">
        <f>VLOOKUP(H353,'3-Productie normen'!A:L,12,FALSE)</f>
        <v>L</v>
      </c>
      <c r="S353" s="75"/>
      <c r="U353" s="41">
        <f t="shared" si="35"/>
        <v>8652</v>
      </c>
    </row>
    <row r="354" spans="1:21" ht="14.1" customHeight="1">
      <c r="A354" s="54">
        <f t="shared" si="30"/>
        <v>354</v>
      </c>
      <c r="B354" s="70" t="s">
        <v>421</v>
      </c>
      <c r="C354" s="70"/>
      <c r="D354" s="416" t="s">
        <v>422</v>
      </c>
      <c r="E354" s="416" t="s">
        <v>89</v>
      </c>
      <c r="F354" s="71">
        <v>14</v>
      </c>
      <c r="G354" s="40" t="s">
        <v>233</v>
      </c>
      <c r="H354" s="40" t="s">
        <v>233</v>
      </c>
      <c r="I354" s="40" t="s">
        <v>225</v>
      </c>
      <c r="J354" s="460">
        <v>43.26</v>
      </c>
      <c r="K354" s="371">
        <f t="shared" si="31"/>
        <v>200</v>
      </c>
      <c r="L354" s="72">
        <v>200</v>
      </c>
      <c r="M354" s="72"/>
      <c r="N354" s="73" t="e">
        <f t="shared" si="32"/>
        <v>#DIV/0!</v>
      </c>
      <c r="O354" s="73">
        <f t="shared" si="33"/>
        <v>0</v>
      </c>
      <c r="P354" s="74">
        <f>IF(L354="nio",0,IF(L354&gt;0,VLOOKUP(H354,'3-Productie normen'!A:J,VLOOKUP(L354,'3-Productie normen'!$B$33:$C$38,2,FALSE),FALSE)))/VLOOKUP(B354,'2-Kosten per locatie'!$A$12:$C$23,3,FALSE)</f>
        <v>0</v>
      </c>
      <c r="Q354" s="74">
        <f t="shared" si="34"/>
        <v>0</v>
      </c>
      <c r="R354" s="75" t="str">
        <f>VLOOKUP(H354,'3-Productie normen'!A:L,12,FALSE)</f>
        <v>L</v>
      </c>
      <c r="S354" s="75"/>
      <c r="U354" s="41">
        <f t="shared" si="35"/>
        <v>8652</v>
      </c>
    </row>
    <row r="355" spans="1:21" ht="14.1" customHeight="1">
      <c r="A355" s="54">
        <f t="shared" si="30"/>
        <v>355</v>
      </c>
      <c r="B355" s="70" t="s">
        <v>421</v>
      </c>
      <c r="C355" s="70"/>
      <c r="D355" s="416" t="s">
        <v>422</v>
      </c>
      <c r="E355" s="416" t="s">
        <v>89</v>
      </c>
      <c r="F355" s="71">
        <v>15</v>
      </c>
      <c r="G355" s="40" t="s">
        <v>17</v>
      </c>
      <c r="H355" s="40" t="s">
        <v>17</v>
      </c>
      <c r="I355" s="40" t="s">
        <v>245</v>
      </c>
      <c r="J355" s="460">
        <v>3.68</v>
      </c>
      <c r="K355" s="371">
        <f t="shared" si="31"/>
        <v>200</v>
      </c>
      <c r="L355" s="72">
        <v>200</v>
      </c>
      <c r="M355" s="72"/>
      <c r="N355" s="73" t="e">
        <f t="shared" si="32"/>
        <v>#DIV/0!</v>
      </c>
      <c r="O355" s="73">
        <f t="shared" si="33"/>
        <v>0</v>
      </c>
      <c r="P355" s="74">
        <f>IF(L355="nio",0,IF(L355&gt;0,VLOOKUP(H355,'3-Productie normen'!A:J,VLOOKUP(L355,'3-Productie normen'!$B$33:$C$38,2,FALSE),FALSE)))/VLOOKUP(B355,'2-Kosten per locatie'!$A$12:$C$23,3,FALSE)</f>
        <v>0</v>
      </c>
      <c r="Q355" s="74">
        <f t="shared" si="34"/>
        <v>0</v>
      </c>
      <c r="R355" s="75" t="str">
        <f>VLOOKUP(H355,'3-Productie normen'!A:L,12,FALSE)</f>
        <v>S</v>
      </c>
      <c r="S355" s="75"/>
      <c r="U355" s="41">
        <f t="shared" si="35"/>
        <v>736</v>
      </c>
    </row>
    <row r="356" spans="1:21" ht="14.1" customHeight="1">
      <c r="A356" s="54">
        <f t="shared" si="30"/>
        <v>356</v>
      </c>
      <c r="B356" s="70" t="s">
        <v>421</v>
      </c>
      <c r="C356" s="70"/>
      <c r="D356" s="416" t="s">
        <v>422</v>
      </c>
      <c r="E356" s="416" t="s">
        <v>89</v>
      </c>
      <c r="F356" s="71">
        <v>16</v>
      </c>
      <c r="G356" s="40" t="s">
        <v>17</v>
      </c>
      <c r="H356" s="40" t="s">
        <v>17</v>
      </c>
      <c r="I356" s="40" t="s">
        <v>245</v>
      </c>
      <c r="J356" s="460">
        <v>3.68</v>
      </c>
      <c r="K356" s="371">
        <f t="shared" si="31"/>
        <v>200</v>
      </c>
      <c r="L356" s="72">
        <v>200</v>
      </c>
      <c r="M356" s="72"/>
      <c r="N356" s="73" t="e">
        <f t="shared" si="32"/>
        <v>#DIV/0!</v>
      </c>
      <c r="O356" s="73">
        <f t="shared" si="33"/>
        <v>0</v>
      </c>
      <c r="P356" s="74">
        <f>IF(L356="nio",0,IF(L356&gt;0,VLOOKUP(H356,'3-Productie normen'!A:J,VLOOKUP(L356,'3-Productie normen'!$B$33:$C$38,2,FALSE),FALSE)))/VLOOKUP(B356,'2-Kosten per locatie'!$A$12:$C$23,3,FALSE)</f>
        <v>0</v>
      </c>
      <c r="Q356" s="74">
        <f t="shared" si="34"/>
        <v>0</v>
      </c>
      <c r="R356" s="75" t="str">
        <f>VLOOKUP(H356,'3-Productie normen'!A:L,12,FALSE)</f>
        <v>S</v>
      </c>
      <c r="S356" s="75"/>
      <c r="U356" s="41">
        <f t="shared" si="35"/>
        <v>736</v>
      </c>
    </row>
    <row r="357" spans="1:21" ht="14.1" customHeight="1">
      <c r="A357" s="54">
        <f t="shared" si="30"/>
        <v>357</v>
      </c>
      <c r="B357" s="70" t="s">
        <v>421</v>
      </c>
      <c r="C357" s="70"/>
      <c r="D357" s="416" t="s">
        <v>422</v>
      </c>
      <c r="E357" s="416" t="s">
        <v>89</v>
      </c>
      <c r="F357" s="71">
        <v>17</v>
      </c>
      <c r="G357" s="40" t="s">
        <v>248</v>
      </c>
      <c r="H357" s="40" t="s">
        <v>232</v>
      </c>
      <c r="I357" s="40" t="s">
        <v>245</v>
      </c>
      <c r="J357" s="460">
        <v>7.88</v>
      </c>
      <c r="K357" s="371">
        <f t="shared" si="31"/>
        <v>200</v>
      </c>
      <c r="L357" s="72">
        <v>200</v>
      </c>
      <c r="M357" s="72"/>
      <c r="N357" s="73" t="e">
        <f t="shared" si="32"/>
        <v>#DIV/0!</v>
      </c>
      <c r="O357" s="73">
        <f t="shared" si="33"/>
        <v>0</v>
      </c>
      <c r="P357" s="74">
        <f>IF(L357="nio",0,IF(L357&gt;0,VLOOKUP(H357,'3-Productie normen'!A:J,VLOOKUP(L357,'3-Productie normen'!$B$33:$C$38,2,FALSE),FALSE)))/VLOOKUP(B357,'2-Kosten per locatie'!$A$12:$C$23,3,FALSE)</f>
        <v>0</v>
      </c>
      <c r="Q357" s="74">
        <f t="shared" si="34"/>
        <v>0</v>
      </c>
      <c r="R357" s="75" t="str">
        <f>VLOOKUP(H357,'3-Productie normen'!A:L,12,FALSE)</f>
        <v>V</v>
      </c>
      <c r="S357" s="75"/>
      <c r="U357" s="41">
        <f t="shared" si="35"/>
        <v>1576</v>
      </c>
    </row>
    <row r="358" spans="1:21" ht="14.1" customHeight="1">
      <c r="A358" s="54">
        <f t="shared" si="30"/>
        <v>358</v>
      </c>
      <c r="B358" s="70" t="s">
        <v>421</v>
      </c>
      <c r="C358" s="70"/>
      <c r="D358" s="416" t="s">
        <v>422</v>
      </c>
      <c r="E358" s="416" t="s">
        <v>89</v>
      </c>
      <c r="F358" s="71">
        <v>18</v>
      </c>
      <c r="G358" s="40" t="s">
        <v>247</v>
      </c>
      <c r="H358" s="40" t="s">
        <v>90</v>
      </c>
      <c r="I358" s="40" t="s">
        <v>227</v>
      </c>
      <c r="J358" s="460">
        <v>14.01</v>
      </c>
      <c r="K358" s="371">
        <f t="shared" si="31"/>
        <v>200</v>
      </c>
      <c r="L358" s="72">
        <v>200</v>
      </c>
      <c r="M358" s="72"/>
      <c r="N358" s="73" t="e">
        <f t="shared" si="32"/>
        <v>#DIV/0!</v>
      </c>
      <c r="O358" s="73">
        <f t="shared" si="33"/>
        <v>0</v>
      </c>
      <c r="P358" s="74">
        <f>IF(L358="nio",0,IF(L358&gt;0,VLOOKUP(H358,'3-Productie normen'!A:J,VLOOKUP(L358,'3-Productie normen'!$B$33:$C$38,2,FALSE),FALSE)))/VLOOKUP(B358,'2-Kosten per locatie'!$A$12:$C$23,3,FALSE)</f>
        <v>0</v>
      </c>
      <c r="Q358" s="74">
        <f t="shared" si="34"/>
        <v>0</v>
      </c>
      <c r="R358" s="75" t="str">
        <f>VLOOKUP(H358,'3-Productie normen'!A:L,12,FALSE)</f>
        <v>V</v>
      </c>
      <c r="S358" s="75"/>
      <c r="U358" s="41">
        <f t="shared" si="35"/>
        <v>2802</v>
      </c>
    </row>
    <row r="359" spans="1:21" ht="14.1" customHeight="1">
      <c r="A359" s="54">
        <f t="shared" si="30"/>
        <v>359</v>
      </c>
      <c r="B359" s="70" t="s">
        <v>421</v>
      </c>
      <c r="C359" s="70"/>
      <c r="D359" s="416" t="s">
        <v>422</v>
      </c>
      <c r="E359" s="416" t="s">
        <v>89</v>
      </c>
      <c r="F359" s="71">
        <v>19</v>
      </c>
      <c r="G359" s="40" t="s">
        <v>226</v>
      </c>
      <c r="H359" s="40" t="s">
        <v>226</v>
      </c>
      <c r="I359" s="40" t="s">
        <v>229</v>
      </c>
      <c r="J359" s="460">
        <v>4</v>
      </c>
      <c r="K359" s="371">
        <f t="shared" si="31"/>
        <v>200</v>
      </c>
      <c r="L359" s="72">
        <v>200</v>
      </c>
      <c r="M359" s="72"/>
      <c r="N359" s="73" t="e">
        <f t="shared" si="32"/>
        <v>#DIV/0!</v>
      </c>
      <c r="O359" s="73">
        <f t="shared" si="33"/>
        <v>0</v>
      </c>
      <c r="P359" s="74">
        <f>IF(L359="nio",0,IF(L359&gt;0,VLOOKUP(H359,'3-Productie normen'!A:J,VLOOKUP(L359,'3-Productie normen'!$B$33:$C$38,2,FALSE),FALSE)))/VLOOKUP(B359,'2-Kosten per locatie'!$A$12:$C$23,3,FALSE)</f>
        <v>0</v>
      </c>
      <c r="Q359" s="74">
        <f t="shared" si="34"/>
        <v>0</v>
      </c>
      <c r="R359" s="75" t="str">
        <f>VLOOKUP(H359,'3-Productie normen'!A:L,12,FALSE)</f>
        <v>V</v>
      </c>
      <c r="S359" s="75"/>
      <c r="U359" s="41">
        <f t="shared" si="35"/>
        <v>800</v>
      </c>
    </row>
    <row r="360" spans="1:21" ht="14.1" customHeight="1">
      <c r="A360" s="54">
        <f t="shared" si="30"/>
        <v>360</v>
      </c>
      <c r="B360" s="70" t="s">
        <v>421</v>
      </c>
      <c r="C360" s="70"/>
      <c r="D360" s="416" t="s">
        <v>422</v>
      </c>
      <c r="E360" s="416">
        <v>1</v>
      </c>
      <c r="F360" s="71">
        <v>20</v>
      </c>
      <c r="G360" s="40" t="s">
        <v>248</v>
      </c>
      <c r="H360" s="40" t="s">
        <v>232</v>
      </c>
      <c r="I360" s="40" t="s">
        <v>225</v>
      </c>
      <c r="J360" s="460">
        <v>2.2400000000000002</v>
      </c>
      <c r="K360" s="371">
        <f t="shared" si="31"/>
        <v>200</v>
      </c>
      <c r="L360" s="72">
        <v>200</v>
      </c>
      <c r="M360" s="72"/>
      <c r="N360" s="73" t="e">
        <f t="shared" si="32"/>
        <v>#DIV/0!</v>
      </c>
      <c r="O360" s="73">
        <f t="shared" si="33"/>
        <v>0</v>
      </c>
      <c r="P360" s="74">
        <f>IF(L360="nio",0,IF(L360&gt;0,VLOOKUP(H360,'3-Productie normen'!A:J,VLOOKUP(L360,'3-Productie normen'!$B$33:$C$38,2,FALSE),FALSE)))/VLOOKUP(B360,'2-Kosten per locatie'!$A$12:$C$23,3,FALSE)</f>
        <v>0</v>
      </c>
      <c r="Q360" s="74">
        <f t="shared" si="34"/>
        <v>0</v>
      </c>
      <c r="R360" s="75" t="str">
        <f>VLOOKUP(H360,'3-Productie normen'!A:L,12,FALSE)</f>
        <v>V</v>
      </c>
      <c r="S360" s="75"/>
      <c r="U360" s="41">
        <f t="shared" si="35"/>
        <v>448.00000000000006</v>
      </c>
    </row>
    <row r="361" spans="1:21" ht="14.1" customHeight="1">
      <c r="A361" s="54">
        <f t="shared" si="30"/>
        <v>361</v>
      </c>
      <c r="B361" s="70" t="s">
        <v>421</v>
      </c>
      <c r="C361" s="70"/>
      <c r="D361" s="416" t="s">
        <v>422</v>
      </c>
      <c r="E361" s="416" t="s">
        <v>89</v>
      </c>
      <c r="F361" s="71">
        <v>21</v>
      </c>
      <c r="G361" s="40" t="s">
        <v>176</v>
      </c>
      <c r="H361" s="40" t="s">
        <v>176</v>
      </c>
      <c r="I361" s="40" t="s">
        <v>225</v>
      </c>
      <c r="J361" s="460">
        <v>13.67</v>
      </c>
      <c r="K361" s="371">
        <f t="shared" si="31"/>
        <v>200</v>
      </c>
      <c r="L361" s="72">
        <v>200</v>
      </c>
      <c r="M361" s="72"/>
      <c r="N361" s="73" t="e">
        <f t="shared" si="32"/>
        <v>#DIV/0!</v>
      </c>
      <c r="O361" s="73">
        <f t="shared" si="33"/>
        <v>0</v>
      </c>
      <c r="P361" s="74">
        <f>IF(L361="nio",0,IF(L361&gt;0,VLOOKUP(H361,'3-Productie normen'!A:J,VLOOKUP(L361,'3-Productie normen'!$B$33:$C$38,2,FALSE),FALSE)))/VLOOKUP(B361,'2-Kosten per locatie'!$A$12:$C$23,3,FALSE)</f>
        <v>0</v>
      </c>
      <c r="Q361" s="74">
        <f t="shared" si="34"/>
        <v>0</v>
      </c>
      <c r="R361" s="75" t="str">
        <f>VLOOKUP(H361,'3-Productie normen'!A:L,12,FALSE)</f>
        <v>B</v>
      </c>
      <c r="S361" s="75"/>
      <c r="U361" s="41">
        <f t="shared" si="35"/>
        <v>2734</v>
      </c>
    </row>
    <row r="362" spans="1:21" ht="14.1" customHeight="1">
      <c r="A362" s="54">
        <f t="shared" si="30"/>
        <v>362</v>
      </c>
      <c r="B362" s="70" t="s">
        <v>421</v>
      </c>
      <c r="C362" s="70"/>
      <c r="D362" s="416" t="s">
        <v>422</v>
      </c>
      <c r="E362" s="416">
        <v>1</v>
      </c>
      <c r="F362" s="71">
        <v>22</v>
      </c>
      <c r="G362" s="40" t="s">
        <v>176</v>
      </c>
      <c r="H362" s="40" t="s">
        <v>176</v>
      </c>
      <c r="I362" s="40" t="s">
        <v>225</v>
      </c>
      <c r="J362" s="460">
        <v>13.3</v>
      </c>
      <c r="K362" s="371">
        <f t="shared" si="31"/>
        <v>200</v>
      </c>
      <c r="L362" s="72">
        <v>200</v>
      </c>
      <c r="M362" s="72"/>
      <c r="N362" s="73" t="e">
        <f t="shared" si="32"/>
        <v>#DIV/0!</v>
      </c>
      <c r="O362" s="73">
        <f t="shared" si="33"/>
        <v>0</v>
      </c>
      <c r="P362" s="74">
        <f>IF(L362="nio",0,IF(L362&gt;0,VLOOKUP(H362,'3-Productie normen'!A:J,VLOOKUP(L362,'3-Productie normen'!$B$33:$C$38,2,FALSE),FALSE)))/VLOOKUP(B362,'2-Kosten per locatie'!$A$12:$C$23,3,FALSE)</f>
        <v>0</v>
      </c>
      <c r="Q362" s="74">
        <f t="shared" si="34"/>
        <v>0</v>
      </c>
      <c r="R362" s="75" t="str">
        <f>VLOOKUP(H362,'3-Productie normen'!A:L,12,FALSE)</f>
        <v>B</v>
      </c>
      <c r="S362" s="75"/>
      <c r="U362" s="41">
        <f t="shared" si="35"/>
        <v>2660</v>
      </c>
    </row>
    <row r="363" spans="1:21" ht="14.1" customHeight="1">
      <c r="A363" s="54">
        <f t="shared" si="30"/>
        <v>363</v>
      </c>
      <c r="B363" s="70" t="s">
        <v>421</v>
      </c>
      <c r="C363" s="70"/>
      <c r="D363" s="416" t="s">
        <v>422</v>
      </c>
      <c r="E363" s="416">
        <v>1</v>
      </c>
      <c r="F363" s="71">
        <v>23</v>
      </c>
      <c r="G363" s="40" t="s">
        <v>17</v>
      </c>
      <c r="H363" s="40" t="s">
        <v>17</v>
      </c>
      <c r="I363" s="40" t="s">
        <v>250</v>
      </c>
      <c r="J363" s="460">
        <v>1.97</v>
      </c>
      <c r="K363" s="371">
        <f t="shared" si="31"/>
        <v>200</v>
      </c>
      <c r="L363" s="72">
        <v>200</v>
      </c>
      <c r="M363" s="72"/>
      <c r="N363" s="73" t="e">
        <f t="shared" si="32"/>
        <v>#DIV/0!</v>
      </c>
      <c r="O363" s="73">
        <f t="shared" si="33"/>
        <v>0</v>
      </c>
      <c r="P363" s="74">
        <f>IF(L363="nio",0,IF(L363&gt;0,VLOOKUP(H363,'3-Productie normen'!A:J,VLOOKUP(L363,'3-Productie normen'!$B$33:$C$38,2,FALSE),FALSE)))/VLOOKUP(B363,'2-Kosten per locatie'!$A$12:$C$23,3,FALSE)</f>
        <v>0</v>
      </c>
      <c r="Q363" s="74">
        <f t="shared" si="34"/>
        <v>0</v>
      </c>
      <c r="R363" s="75" t="str">
        <f>VLOOKUP(H363,'3-Productie normen'!A:L,12,FALSE)</f>
        <v>S</v>
      </c>
      <c r="S363" s="75"/>
      <c r="U363" s="41">
        <f t="shared" si="35"/>
        <v>394</v>
      </c>
    </row>
    <row r="364" spans="1:21" ht="14.1" customHeight="1">
      <c r="A364" s="54">
        <f t="shared" si="30"/>
        <v>364</v>
      </c>
      <c r="B364" s="70" t="s">
        <v>421</v>
      </c>
      <c r="C364" s="70"/>
      <c r="D364" s="416" t="s">
        <v>422</v>
      </c>
      <c r="E364" s="416">
        <v>1</v>
      </c>
      <c r="F364" s="71">
        <v>24</v>
      </c>
      <c r="G364" s="40" t="s">
        <v>176</v>
      </c>
      <c r="H364" s="40" t="s">
        <v>176</v>
      </c>
      <c r="I364" s="40" t="s">
        <v>225</v>
      </c>
      <c r="J364" s="460">
        <v>11.2</v>
      </c>
      <c r="K364" s="371">
        <f t="shared" si="31"/>
        <v>200</v>
      </c>
      <c r="L364" s="72">
        <v>200</v>
      </c>
      <c r="M364" s="72"/>
      <c r="N364" s="73" t="e">
        <f t="shared" si="32"/>
        <v>#DIV/0!</v>
      </c>
      <c r="O364" s="73">
        <f t="shared" si="33"/>
        <v>0</v>
      </c>
      <c r="P364" s="74">
        <f>IF(L364="nio",0,IF(L364&gt;0,VLOOKUP(H364,'3-Productie normen'!A:J,VLOOKUP(L364,'3-Productie normen'!$B$33:$C$38,2,FALSE),FALSE)))/VLOOKUP(B364,'2-Kosten per locatie'!$A$12:$C$23,3,FALSE)</f>
        <v>0</v>
      </c>
      <c r="Q364" s="74">
        <f t="shared" si="34"/>
        <v>0</v>
      </c>
      <c r="R364" s="75" t="str">
        <f>VLOOKUP(H364,'3-Productie normen'!A:L,12,FALSE)</f>
        <v>B</v>
      </c>
      <c r="S364" s="75"/>
      <c r="U364" s="41">
        <f t="shared" si="35"/>
        <v>2240</v>
      </c>
    </row>
    <row r="365" spans="1:21" ht="14.1" customHeight="1">
      <c r="A365" s="54">
        <f t="shared" si="30"/>
        <v>365</v>
      </c>
      <c r="B365" s="70" t="s">
        <v>421</v>
      </c>
      <c r="C365" s="70"/>
      <c r="D365" s="416" t="s">
        <v>422</v>
      </c>
      <c r="E365" s="416">
        <v>1</v>
      </c>
      <c r="F365" s="71">
        <v>25</v>
      </c>
      <c r="G365" s="40" t="s">
        <v>176</v>
      </c>
      <c r="H365" s="40" t="s">
        <v>176</v>
      </c>
      <c r="I365" s="40" t="s">
        <v>225</v>
      </c>
      <c r="J365" s="460">
        <v>11.42</v>
      </c>
      <c r="K365" s="371">
        <f t="shared" si="31"/>
        <v>200</v>
      </c>
      <c r="L365" s="72">
        <v>200</v>
      </c>
      <c r="M365" s="72"/>
      <c r="N365" s="73" t="e">
        <f t="shared" si="32"/>
        <v>#DIV/0!</v>
      </c>
      <c r="O365" s="73">
        <f t="shared" si="33"/>
        <v>0</v>
      </c>
      <c r="P365" s="74">
        <f>IF(L365="nio",0,IF(L365&gt;0,VLOOKUP(H365,'3-Productie normen'!A:J,VLOOKUP(L365,'3-Productie normen'!$B$33:$C$38,2,FALSE),FALSE)))/VLOOKUP(B365,'2-Kosten per locatie'!$A$12:$C$23,3,FALSE)</f>
        <v>0</v>
      </c>
      <c r="Q365" s="74">
        <f t="shared" si="34"/>
        <v>0</v>
      </c>
      <c r="R365" s="75" t="str">
        <f>VLOOKUP(H365,'3-Productie normen'!A:L,12,FALSE)</f>
        <v>B</v>
      </c>
      <c r="S365" s="75"/>
      <c r="U365" s="41">
        <f t="shared" si="35"/>
        <v>2284</v>
      </c>
    </row>
    <row r="366" spans="1:21" ht="14.1" customHeight="1">
      <c r="A366" s="54">
        <f t="shared" si="30"/>
        <v>366</v>
      </c>
      <c r="B366" s="70" t="s">
        <v>421</v>
      </c>
      <c r="C366" s="70"/>
      <c r="D366" s="416" t="s">
        <v>422</v>
      </c>
      <c r="E366" s="416">
        <v>1</v>
      </c>
      <c r="F366" s="71">
        <v>26</v>
      </c>
      <c r="G366" s="40" t="s">
        <v>176</v>
      </c>
      <c r="H366" s="40" t="s">
        <v>176</v>
      </c>
      <c r="I366" s="40" t="s">
        <v>225</v>
      </c>
      <c r="J366" s="460">
        <v>16.96</v>
      </c>
      <c r="K366" s="371">
        <f t="shared" si="31"/>
        <v>200</v>
      </c>
      <c r="L366" s="72">
        <v>200</v>
      </c>
      <c r="M366" s="72"/>
      <c r="N366" s="73" t="e">
        <f t="shared" si="32"/>
        <v>#DIV/0!</v>
      </c>
      <c r="O366" s="73">
        <f t="shared" si="33"/>
        <v>0</v>
      </c>
      <c r="P366" s="74">
        <f>IF(L366="nio",0,IF(L366&gt;0,VLOOKUP(H366,'3-Productie normen'!A:J,VLOOKUP(L366,'3-Productie normen'!$B$33:$C$38,2,FALSE),FALSE)))/VLOOKUP(B366,'2-Kosten per locatie'!$A$12:$C$23,3,FALSE)</f>
        <v>0</v>
      </c>
      <c r="Q366" s="74">
        <f t="shared" si="34"/>
        <v>0</v>
      </c>
      <c r="R366" s="75" t="str">
        <f>VLOOKUP(H366,'3-Productie normen'!A:L,12,FALSE)</f>
        <v>B</v>
      </c>
      <c r="S366" s="75"/>
      <c r="U366" s="41">
        <f t="shared" si="35"/>
        <v>3392</v>
      </c>
    </row>
    <row r="367" spans="1:21" ht="14.1" customHeight="1">
      <c r="A367" s="54">
        <f t="shared" si="30"/>
        <v>367</v>
      </c>
      <c r="B367" s="70" t="s">
        <v>421</v>
      </c>
      <c r="C367" s="70"/>
      <c r="D367" s="416" t="s">
        <v>422</v>
      </c>
      <c r="E367" s="416">
        <v>1</v>
      </c>
      <c r="F367" s="71">
        <v>27</v>
      </c>
      <c r="G367" s="70" t="s">
        <v>176</v>
      </c>
      <c r="H367" s="70" t="s">
        <v>176</v>
      </c>
      <c r="I367" s="40" t="s">
        <v>225</v>
      </c>
      <c r="J367" s="460">
        <v>28.74</v>
      </c>
      <c r="K367" s="371">
        <f t="shared" si="31"/>
        <v>200</v>
      </c>
      <c r="L367" s="72">
        <v>200</v>
      </c>
      <c r="M367" s="72"/>
      <c r="N367" s="73" t="e">
        <f t="shared" si="32"/>
        <v>#DIV/0!</v>
      </c>
      <c r="O367" s="73">
        <f t="shared" si="33"/>
        <v>0</v>
      </c>
      <c r="P367" s="74">
        <f>IF(L367="nio",0,IF(L367&gt;0,VLOOKUP(H367,'3-Productie normen'!A:J,VLOOKUP(L367,'3-Productie normen'!$B$33:$C$38,2,FALSE),FALSE)))/VLOOKUP(B367,'2-Kosten per locatie'!$A$12:$C$23,3,FALSE)</f>
        <v>0</v>
      </c>
      <c r="Q367" s="74">
        <f t="shared" si="34"/>
        <v>0</v>
      </c>
      <c r="R367" s="75" t="str">
        <f>VLOOKUP(H367,'3-Productie normen'!A:L,12,FALSE)</f>
        <v>B</v>
      </c>
      <c r="S367" s="75"/>
      <c r="U367" s="41">
        <f t="shared" si="35"/>
        <v>5748</v>
      </c>
    </row>
    <row r="368" spans="1:21" ht="14.1" customHeight="1">
      <c r="A368" s="54">
        <f t="shared" si="30"/>
        <v>368</v>
      </c>
      <c r="B368" s="70" t="s">
        <v>421</v>
      </c>
      <c r="C368" s="70"/>
      <c r="D368" s="416" t="s">
        <v>422</v>
      </c>
      <c r="E368" s="416">
        <v>1</v>
      </c>
      <c r="F368" s="71">
        <v>28</v>
      </c>
      <c r="G368" s="70" t="s">
        <v>176</v>
      </c>
      <c r="H368" s="70" t="s">
        <v>176</v>
      </c>
      <c r="I368" s="40" t="s">
        <v>225</v>
      </c>
      <c r="J368" s="460">
        <v>11.24</v>
      </c>
      <c r="K368" s="371">
        <f t="shared" si="31"/>
        <v>200</v>
      </c>
      <c r="L368" s="72">
        <v>200</v>
      </c>
      <c r="M368" s="72"/>
      <c r="N368" s="73" t="e">
        <f t="shared" si="32"/>
        <v>#DIV/0!</v>
      </c>
      <c r="O368" s="73">
        <f t="shared" si="33"/>
        <v>0</v>
      </c>
      <c r="P368" s="74">
        <f>IF(L368="nio",0,IF(L368&gt;0,VLOOKUP(H368,'3-Productie normen'!A:J,VLOOKUP(L368,'3-Productie normen'!$B$33:$C$38,2,FALSE),FALSE)))/VLOOKUP(B368,'2-Kosten per locatie'!$A$12:$C$23,3,FALSE)</f>
        <v>0</v>
      </c>
      <c r="Q368" s="74">
        <f t="shared" si="34"/>
        <v>0</v>
      </c>
      <c r="R368" s="75" t="str">
        <f>VLOOKUP(H368,'3-Productie normen'!A:L,12,FALSE)</f>
        <v>B</v>
      </c>
      <c r="S368" s="75"/>
      <c r="U368" s="41">
        <f t="shared" si="35"/>
        <v>2248</v>
      </c>
    </row>
    <row r="369" spans="1:21" ht="14.1" customHeight="1">
      <c r="A369" s="54">
        <f t="shared" si="30"/>
        <v>369</v>
      </c>
      <c r="B369" s="70" t="s">
        <v>421</v>
      </c>
      <c r="C369" s="70"/>
      <c r="D369" s="416" t="s">
        <v>422</v>
      </c>
      <c r="E369" s="416">
        <v>1</v>
      </c>
      <c r="F369" s="71">
        <v>29</v>
      </c>
      <c r="G369" s="70" t="s">
        <v>226</v>
      </c>
      <c r="H369" s="70" t="s">
        <v>226</v>
      </c>
      <c r="I369" s="40" t="s">
        <v>234</v>
      </c>
      <c r="J369" s="460">
        <v>13.86</v>
      </c>
      <c r="K369" s="371">
        <f t="shared" si="31"/>
        <v>200</v>
      </c>
      <c r="L369" s="72">
        <v>200</v>
      </c>
      <c r="M369" s="72"/>
      <c r="N369" s="73" t="e">
        <f t="shared" si="32"/>
        <v>#DIV/0!</v>
      </c>
      <c r="O369" s="73">
        <f t="shared" si="33"/>
        <v>0</v>
      </c>
      <c r="P369" s="74">
        <f>IF(L369="nio",0,IF(L369&gt;0,VLOOKUP(H369,'3-Productie normen'!A:J,VLOOKUP(L369,'3-Productie normen'!$B$33:$C$38,2,FALSE),FALSE)))/VLOOKUP(B369,'2-Kosten per locatie'!$A$12:$C$23,3,FALSE)</f>
        <v>0</v>
      </c>
      <c r="Q369" s="74">
        <f t="shared" si="34"/>
        <v>0</v>
      </c>
      <c r="R369" s="75" t="str">
        <f>VLOOKUP(H369,'3-Productie normen'!A:L,12,FALSE)</f>
        <v>V</v>
      </c>
      <c r="S369" s="75"/>
      <c r="U369" s="41">
        <f t="shared" si="35"/>
        <v>2772</v>
      </c>
    </row>
    <row r="370" spans="1:21" ht="14.1" customHeight="1">
      <c r="A370" s="54">
        <f t="shared" si="30"/>
        <v>370</v>
      </c>
      <c r="B370" s="70" t="s">
        <v>421</v>
      </c>
      <c r="C370" s="70"/>
      <c r="D370" s="416" t="s">
        <v>422</v>
      </c>
      <c r="E370" s="416">
        <v>1</v>
      </c>
      <c r="F370" s="71">
        <v>30</v>
      </c>
      <c r="G370" s="40" t="s">
        <v>248</v>
      </c>
      <c r="H370" s="40" t="s">
        <v>232</v>
      </c>
      <c r="I370" s="40" t="s">
        <v>245</v>
      </c>
      <c r="J370" s="460">
        <v>18.77</v>
      </c>
      <c r="K370" s="371">
        <f t="shared" si="31"/>
        <v>200</v>
      </c>
      <c r="L370" s="72">
        <v>200</v>
      </c>
      <c r="M370" s="72"/>
      <c r="N370" s="73" t="e">
        <f t="shared" si="32"/>
        <v>#DIV/0!</v>
      </c>
      <c r="O370" s="73">
        <f t="shared" si="33"/>
        <v>0</v>
      </c>
      <c r="P370" s="74">
        <f>IF(L370="nio",0,IF(L370&gt;0,VLOOKUP(H370,'3-Productie normen'!A:J,VLOOKUP(L370,'3-Productie normen'!$B$33:$C$38,2,FALSE),FALSE)))/VLOOKUP(B370,'2-Kosten per locatie'!$A$12:$C$23,3,FALSE)</f>
        <v>0</v>
      </c>
      <c r="Q370" s="74">
        <f t="shared" si="34"/>
        <v>0</v>
      </c>
      <c r="R370" s="75" t="str">
        <f>VLOOKUP(H370,'3-Productie normen'!A:L,12,FALSE)</f>
        <v>V</v>
      </c>
      <c r="S370" s="75"/>
      <c r="U370" s="41">
        <f t="shared" si="35"/>
        <v>3754</v>
      </c>
    </row>
    <row r="371" spans="1:21" ht="14.1" customHeight="1">
      <c r="A371" s="54">
        <f t="shared" si="30"/>
        <v>371</v>
      </c>
      <c r="B371" s="70" t="s">
        <v>421</v>
      </c>
      <c r="C371" s="70"/>
      <c r="D371" s="416" t="s">
        <v>422</v>
      </c>
      <c r="E371" s="416">
        <v>1</v>
      </c>
      <c r="F371" s="71">
        <v>31</v>
      </c>
      <c r="G371" s="40" t="s">
        <v>248</v>
      </c>
      <c r="H371" s="40" t="s">
        <v>232</v>
      </c>
      <c r="I371" s="40" t="s">
        <v>245</v>
      </c>
      <c r="J371" s="460">
        <v>104.09</v>
      </c>
      <c r="K371" s="371">
        <f t="shared" si="31"/>
        <v>200</v>
      </c>
      <c r="L371" s="72">
        <v>200</v>
      </c>
      <c r="M371" s="72"/>
      <c r="N371" s="73" t="e">
        <f t="shared" si="32"/>
        <v>#DIV/0!</v>
      </c>
      <c r="O371" s="73">
        <f t="shared" si="33"/>
        <v>0</v>
      </c>
      <c r="P371" s="74">
        <f>IF(L371="nio",0,IF(L371&gt;0,VLOOKUP(H371,'3-Productie normen'!A:J,VLOOKUP(L371,'3-Productie normen'!$B$33:$C$38,2,FALSE),FALSE)))/VLOOKUP(B371,'2-Kosten per locatie'!$A$12:$C$23,3,FALSE)</f>
        <v>0</v>
      </c>
      <c r="Q371" s="74">
        <f t="shared" si="34"/>
        <v>0</v>
      </c>
      <c r="R371" s="75" t="str">
        <f>VLOOKUP(H371,'3-Productie normen'!A:L,12,FALSE)</f>
        <v>V</v>
      </c>
      <c r="S371" s="75"/>
      <c r="U371" s="41">
        <f t="shared" si="35"/>
        <v>20818</v>
      </c>
    </row>
    <row r="372" spans="1:21" ht="14.1" customHeight="1">
      <c r="A372" s="54">
        <f t="shared" si="30"/>
        <v>372</v>
      </c>
      <c r="B372" s="70" t="s">
        <v>421</v>
      </c>
      <c r="C372" s="70"/>
      <c r="D372" s="416" t="s">
        <v>422</v>
      </c>
      <c r="E372" s="416">
        <v>1</v>
      </c>
      <c r="F372" s="71">
        <v>32</v>
      </c>
      <c r="G372" s="40" t="s">
        <v>240</v>
      </c>
      <c r="H372" s="40" t="s">
        <v>240</v>
      </c>
      <c r="I372" s="40" t="s">
        <v>225</v>
      </c>
      <c r="J372" s="460">
        <v>43.26</v>
      </c>
      <c r="K372" s="371">
        <f t="shared" si="31"/>
        <v>200</v>
      </c>
      <c r="L372" s="72">
        <v>200</v>
      </c>
      <c r="M372" s="72"/>
      <c r="N372" s="73" t="e">
        <f t="shared" si="32"/>
        <v>#DIV/0!</v>
      </c>
      <c r="O372" s="73">
        <f t="shared" si="33"/>
        <v>0</v>
      </c>
      <c r="P372" s="74">
        <f>IF(L372="nio",0,IF(L372&gt;0,VLOOKUP(H372,'3-Productie normen'!A:J,VLOOKUP(L372,'3-Productie normen'!$B$33:$C$38,2,FALSE),FALSE)))/VLOOKUP(B372,'2-Kosten per locatie'!$A$12:$C$23,3,FALSE)</f>
        <v>0</v>
      </c>
      <c r="Q372" s="74">
        <f t="shared" si="34"/>
        <v>0</v>
      </c>
      <c r="R372" s="75" t="str">
        <f>VLOOKUP(H372,'3-Productie normen'!A:L,12,FALSE)</f>
        <v>V</v>
      </c>
      <c r="S372" s="75"/>
      <c r="U372" s="41">
        <f t="shared" si="35"/>
        <v>8652</v>
      </c>
    </row>
    <row r="373" spans="1:21" ht="14.1" customHeight="1">
      <c r="A373" s="54">
        <f t="shared" si="30"/>
        <v>373</v>
      </c>
      <c r="B373" s="70" t="s">
        <v>421</v>
      </c>
      <c r="C373" s="70"/>
      <c r="D373" s="416" t="s">
        <v>422</v>
      </c>
      <c r="E373" s="416">
        <v>1</v>
      </c>
      <c r="F373" s="71">
        <v>33</v>
      </c>
      <c r="G373" s="40" t="s">
        <v>240</v>
      </c>
      <c r="H373" s="40" t="s">
        <v>240</v>
      </c>
      <c r="I373" s="40" t="s">
        <v>225</v>
      </c>
      <c r="J373" s="460">
        <v>43.26</v>
      </c>
      <c r="K373" s="371">
        <f t="shared" si="31"/>
        <v>200</v>
      </c>
      <c r="L373" s="72">
        <v>200</v>
      </c>
      <c r="M373" s="72"/>
      <c r="N373" s="73" t="e">
        <f t="shared" si="32"/>
        <v>#DIV/0!</v>
      </c>
      <c r="O373" s="73">
        <f t="shared" si="33"/>
        <v>0</v>
      </c>
      <c r="P373" s="74">
        <f>IF(L373="nio",0,IF(L373&gt;0,VLOOKUP(H373,'3-Productie normen'!A:J,VLOOKUP(L373,'3-Productie normen'!$B$33:$C$38,2,FALSE),FALSE)))/VLOOKUP(B373,'2-Kosten per locatie'!$A$12:$C$23,3,FALSE)</f>
        <v>0</v>
      </c>
      <c r="Q373" s="74">
        <f t="shared" si="34"/>
        <v>0</v>
      </c>
      <c r="R373" s="75" t="str">
        <f>VLOOKUP(H373,'3-Productie normen'!A:L,12,FALSE)</f>
        <v>V</v>
      </c>
      <c r="S373" s="75"/>
      <c r="U373" s="41">
        <f t="shared" si="35"/>
        <v>8652</v>
      </c>
    </row>
    <row r="374" spans="1:21" ht="14.1" customHeight="1">
      <c r="A374" s="54">
        <f t="shared" si="30"/>
        <v>374</v>
      </c>
      <c r="B374" s="70" t="s">
        <v>421</v>
      </c>
      <c r="C374" s="70"/>
      <c r="D374" s="416" t="s">
        <v>422</v>
      </c>
      <c r="E374" s="416">
        <v>1</v>
      </c>
      <c r="F374" s="71">
        <v>34</v>
      </c>
      <c r="G374" s="77" t="s">
        <v>240</v>
      </c>
      <c r="H374" s="77" t="s">
        <v>240</v>
      </c>
      <c r="I374" s="40" t="s">
        <v>225</v>
      </c>
      <c r="J374" s="460">
        <v>43.26</v>
      </c>
      <c r="K374" s="371">
        <f t="shared" si="31"/>
        <v>200</v>
      </c>
      <c r="L374" s="72">
        <v>200</v>
      </c>
      <c r="M374" s="72"/>
      <c r="N374" s="73" t="e">
        <f t="shared" si="32"/>
        <v>#DIV/0!</v>
      </c>
      <c r="O374" s="73">
        <f t="shared" si="33"/>
        <v>0</v>
      </c>
      <c r="P374" s="74">
        <f>IF(L374="nio",0,IF(L374&gt;0,VLOOKUP(H374,'3-Productie normen'!A:J,VLOOKUP(L374,'3-Productie normen'!$B$33:$C$38,2,FALSE),FALSE)))/VLOOKUP(B374,'2-Kosten per locatie'!$A$12:$C$23,3,FALSE)</f>
        <v>0</v>
      </c>
      <c r="Q374" s="74">
        <f t="shared" si="34"/>
        <v>0</v>
      </c>
      <c r="R374" s="75" t="str">
        <f>VLOOKUP(H374,'3-Productie normen'!A:L,12,FALSE)</f>
        <v>V</v>
      </c>
      <c r="S374" s="75"/>
      <c r="U374" s="41">
        <f t="shared" si="35"/>
        <v>8652</v>
      </c>
    </row>
    <row r="375" spans="1:21" ht="14.1" customHeight="1">
      <c r="A375" s="54">
        <f t="shared" si="30"/>
        <v>375</v>
      </c>
      <c r="B375" s="70" t="s">
        <v>421</v>
      </c>
      <c r="C375" s="70"/>
      <c r="D375" s="416" t="s">
        <v>422</v>
      </c>
      <c r="E375" s="416">
        <v>1</v>
      </c>
      <c r="F375" s="71">
        <v>35</v>
      </c>
      <c r="G375" s="40" t="s">
        <v>240</v>
      </c>
      <c r="H375" s="40" t="s">
        <v>240</v>
      </c>
      <c r="I375" s="78" t="s">
        <v>225</v>
      </c>
      <c r="J375" s="460">
        <v>43.26</v>
      </c>
      <c r="K375" s="371">
        <f t="shared" si="31"/>
        <v>200</v>
      </c>
      <c r="L375" s="72">
        <v>200</v>
      </c>
      <c r="M375" s="72"/>
      <c r="N375" s="73" t="e">
        <f t="shared" si="32"/>
        <v>#DIV/0!</v>
      </c>
      <c r="O375" s="73">
        <f t="shared" si="33"/>
        <v>0</v>
      </c>
      <c r="P375" s="74">
        <f>IF(L375="nio",0,IF(L375&gt;0,VLOOKUP(H375,'3-Productie normen'!A:J,VLOOKUP(L375,'3-Productie normen'!$B$33:$C$38,2,FALSE),FALSE)))/VLOOKUP(B375,'2-Kosten per locatie'!$A$12:$C$23,3,FALSE)</f>
        <v>0</v>
      </c>
      <c r="Q375" s="74">
        <f t="shared" si="34"/>
        <v>0</v>
      </c>
      <c r="R375" s="75" t="str">
        <f>VLOOKUP(H375,'3-Productie normen'!A:L,12,FALSE)</f>
        <v>V</v>
      </c>
      <c r="S375" s="75"/>
      <c r="U375" s="41">
        <f t="shared" si="35"/>
        <v>8652</v>
      </c>
    </row>
    <row r="376" spans="1:21" ht="14.1" customHeight="1">
      <c r="A376" s="54">
        <f t="shared" si="30"/>
        <v>376</v>
      </c>
      <c r="B376" s="70" t="s">
        <v>421</v>
      </c>
      <c r="C376" s="70"/>
      <c r="D376" s="417" t="s">
        <v>422</v>
      </c>
      <c r="E376" s="417">
        <v>1</v>
      </c>
      <c r="F376" s="79">
        <v>36</v>
      </c>
      <c r="G376" s="80" t="s">
        <v>240</v>
      </c>
      <c r="H376" s="80" t="s">
        <v>240</v>
      </c>
      <c r="I376" s="40" t="s">
        <v>225</v>
      </c>
      <c r="J376" s="460">
        <v>43.26</v>
      </c>
      <c r="K376" s="371">
        <f t="shared" si="31"/>
        <v>200</v>
      </c>
      <c r="L376" s="72">
        <v>200</v>
      </c>
      <c r="M376" s="72"/>
      <c r="N376" s="73" t="e">
        <f t="shared" si="32"/>
        <v>#DIV/0!</v>
      </c>
      <c r="O376" s="73">
        <f t="shared" si="33"/>
        <v>0</v>
      </c>
      <c r="P376" s="74">
        <f>IF(L376="nio",0,IF(L376&gt;0,VLOOKUP(H376,'3-Productie normen'!A:J,VLOOKUP(L376,'3-Productie normen'!$B$33:$C$38,2,FALSE),FALSE)))/VLOOKUP(B376,'2-Kosten per locatie'!$A$12:$C$23,3,FALSE)</f>
        <v>0</v>
      </c>
      <c r="Q376" s="74">
        <f t="shared" si="34"/>
        <v>0</v>
      </c>
      <c r="R376" s="75" t="str">
        <f>VLOOKUP(H376,'3-Productie normen'!A:L,12,FALSE)</f>
        <v>V</v>
      </c>
      <c r="S376" s="75"/>
      <c r="U376" s="41">
        <f t="shared" si="35"/>
        <v>8652</v>
      </c>
    </row>
    <row r="377" spans="1:21" ht="14.1" customHeight="1">
      <c r="A377" s="54">
        <f t="shared" si="30"/>
        <v>377</v>
      </c>
      <c r="B377" s="70" t="s">
        <v>421</v>
      </c>
      <c r="C377" s="70"/>
      <c r="D377" s="416" t="s">
        <v>422</v>
      </c>
      <c r="E377" s="416">
        <v>1</v>
      </c>
      <c r="F377" s="71">
        <v>37</v>
      </c>
      <c r="G377" s="40" t="s">
        <v>17</v>
      </c>
      <c r="H377" s="40" t="s">
        <v>17</v>
      </c>
      <c r="I377" s="40" t="s">
        <v>245</v>
      </c>
      <c r="J377" s="460">
        <v>3.68</v>
      </c>
      <c r="K377" s="371">
        <f t="shared" si="31"/>
        <v>200</v>
      </c>
      <c r="L377" s="72">
        <v>200</v>
      </c>
      <c r="M377" s="72"/>
      <c r="N377" s="73" t="e">
        <f t="shared" si="32"/>
        <v>#DIV/0!</v>
      </c>
      <c r="O377" s="73">
        <f t="shared" si="33"/>
        <v>0</v>
      </c>
      <c r="P377" s="74">
        <f>IF(L377="nio",0,IF(L377&gt;0,VLOOKUP(H377,'3-Productie normen'!A:J,VLOOKUP(L377,'3-Productie normen'!$B$33:$C$38,2,FALSE),FALSE)))/VLOOKUP(B377,'2-Kosten per locatie'!$A$12:$C$23,3,FALSE)</f>
        <v>0</v>
      </c>
      <c r="Q377" s="74">
        <f t="shared" si="34"/>
        <v>0</v>
      </c>
      <c r="R377" s="75" t="str">
        <f>VLOOKUP(H377,'3-Productie normen'!A:L,12,FALSE)</f>
        <v>S</v>
      </c>
      <c r="S377" s="75"/>
      <c r="U377" s="41">
        <f t="shared" si="35"/>
        <v>736</v>
      </c>
    </row>
    <row r="378" spans="1:21" ht="14.1" customHeight="1">
      <c r="A378" s="54">
        <f t="shared" si="30"/>
        <v>378</v>
      </c>
      <c r="B378" s="70" t="s">
        <v>421</v>
      </c>
      <c r="C378" s="70"/>
      <c r="D378" s="416" t="s">
        <v>422</v>
      </c>
      <c r="E378" s="416">
        <v>1</v>
      </c>
      <c r="F378" s="71">
        <v>38</v>
      </c>
      <c r="G378" s="40" t="s">
        <v>17</v>
      </c>
      <c r="H378" s="40" t="s">
        <v>17</v>
      </c>
      <c r="I378" s="40" t="s">
        <v>245</v>
      </c>
      <c r="J378" s="460">
        <v>3.68</v>
      </c>
      <c r="K378" s="371">
        <f t="shared" si="31"/>
        <v>200</v>
      </c>
      <c r="L378" s="72">
        <v>200</v>
      </c>
      <c r="M378" s="72"/>
      <c r="N378" s="73" t="e">
        <f t="shared" si="32"/>
        <v>#DIV/0!</v>
      </c>
      <c r="O378" s="73">
        <f t="shared" si="33"/>
        <v>0</v>
      </c>
      <c r="P378" s="74">
        <f>IF(L378="nio",0,IF(L378&gt;0,VLOOKUP(H378,'3-Productie normen'!A:J,VLOOKUP(L378,'3-Productie normen'!$B$33:$C$38,2,FALSE),FALSE)))/VLOOKUP(B378,'2-Kosten per locatie'!$A$12:$C$23,3,FALSE)</f>
        <v>0</v>
      </c>
      <c r="Q378" s="74">
        <f t="shared" si="34"/>
        <v>0</v>
      </c>
      <c r="R378" s="75" t="str">
        <f>VLOOKUP(H378,'3-Productie normen'!A:L,12,FALSE)</f>
        <v>S</v>
      </c>
      <c r="S378" s="75"/>
      <c r="U378" s="41">
        <f t="shared" si="35"/>
        <v>736</v>
      </c>
    </row>
    <row r="379" spans="1:21" ht="14.1" customHeight="1">
      <c r="A379" s="54">
        <f t="shared" si="30"/>
        <v>379</v>
      </c>
      <c r="B379" s="70" t="s">
        <v>423</v>
      </c>
      <c r="C379" s="70"/>
      <c r="D379" s="416" t="s">
        <v>424</v>
      </c>
      <c r="E379" s="416">
        <v>-1</v>
      </c>
      <c r="F379" s="71" t="s">
        <v>425</v>
      </c>
      <c r="G379" s="40" t="s">
        <v>217</v>
      </c>
      <c r="H379" s="40" t="s">
        <v>226</v>
      </c>
      <c r="I379" s="40" t="s">
        <v>426</v>
      </c>
      <c r="J379" s="460">
        <v>13</v>
      </c>
      <c r="K379" s="371">
        <f t="shared" si="31"/>
        <v>200</v>
      </c>
      <c r="L379" s="72">
        <v>200</v>
      </c>
      <c r="M379" s="72"/>
      <c r="N379" s="73" t="e">
        <f t="shared" si="32"/>
        <v>#DIV/0!</v>
      </c>
      <c r="O379" s="73">
        <f t="shared" si="33"/>
        <v>0</v>
      </c>
      <c r="P379" s="74">
        <f>IF(L379="nio",0,IF(L379&gt;0,VLOOKUP(H379,'3-Productie normen'!A:J,VLOOKUP(L379,'3-Productie normen'!$B$33:$C$38,2,FALSE),FALSE)))/VLOOKUP(B379,'2-Kosten per locatie'!$A$12:$C$23,3,FALSE)</f>
        <v>0</v>
      </c>
      <c r="Q379" s="74">
        <f t="shared" si="34"/>
        <v>0</v>
      </c>
      <c r="R379" s="75" t="str">
        <f>VLOOKUP(H379,'3-Productie normen'!A:L,12,FALSE)</f>
        <v>V</v>
      </c>
      <c r="S379" s="75"/>
      <c r="U379" s="41">
        <f t="shared" si="35"/>
        <v>2600</v>
      </c>
    </row>
    <row r="380" spans="1:21" ht="14.1" customHeight="1">
      <c r="A380" s="54">
        <f t="shared" si="30"/>
        <v>380</v>
      </c>
      <c r="B380" s="70" t="s">
        <v>423</v>
      </c>
      <c r="C380" s="70"/>
      <c r="D380" s="416" t="s">
        <v>424</v>
      </c>
      <c r="E380" s="416">
        <v>-1</v>
      </c>
      <c r="F380" s="71" t="s">
        <v>427</v>
      </c>
      <c r="G380" s="40" t="s">
        <v>236</v>
      </c>
      <c r="H380" s="40" t="s">
        <v>236</v>
      </c>
      <c r="I380" s="40" t="s">
        <v>428</v>
      </c>
      <c r="J380" s="460">
        <v>251</v>
      </c>
      <c r="K380" s="371">
        <f t="shared" si="31"/>
        <v>200</v>
      </c>
      <c r="L380" s="72">
        <v>200</v>
      </c>
      <c r="M380" s="72"/>
      <c r="N380" s="73" t="e">
        <f t="shared" si="32"/>
        <v>#DIV/0!</v>
      </c>
      <c r="O380" s="73">
        <f t="shared" si="33"/>
        <v>0</v>
      </c>
      <c r="P380" s="74">
        <f>IF(L380="nio",0,IF(L380&gt;0,VLOOKUP(H380,'3-Productie normen'!A:J,VLOOKUP(L380,'3-Productie normen'!$B$33:$C$38,2,FALSE),FALSE)))/VLOOKUP(B380,'2-Kosten per locatie'!$A$12:$C$23,3,FALSE)</f>
        <v>0</v>
      </c>
      <c r="Q380" s="74">
        <f t="shared" si="34"/>
        <v>0</v>
      </c>
      <c r="R380" s="75" t="str">
        <f>VLOOKUP(H380,'3-Productie normen'!A:L,12,FALSE)</f>
        <v>V</v>
      </c>
      <c r="S380" s="75"/>
      <c r="U380" s="41">
        <f t="shared" si="35"/>
        <v>50200</v>
      </c>
    </row>
    <row r="381" spans="1:21" ht="14.1" customHeight="1">
      <c r="A381" s="54">
        <f t="shared" si="30"/>
        <v>381</v>
      </c>
      <c r="B381" s="70" t="s">
        <v>423</v>
      </c>
      <c r="C381" s="70"/>
      <c r="D381" s="416" t="s">
        <v>424</v>
      </c>
      <c r="E381" s="416">
        <v>-1</v>
      </c>
      <c r="F381" s="71" t="s">
        <v>429</v>
      </c>
      <c r="G381" s="40" t="s">
        <v>430</v>
      </c>
      <c r="H381" s="40" t="s">
        <v>232</v>
      </c>
      <c r="I381" s="40" t="s">
        <v>426</v>
      </c>
      <c r="J381" s="460">
        <v>15</v>
      </c>
      <c r="K381" s="371">
        <f t="shared" si="31"/>
        <v>200</v>
      </c>
      <c r="L381" s="72">
        <v>200</v>
      </c>
      <c r="M381" s="72"/>
      <c r="N381" s="73" t="e">
        <f t="shared" si="32"/>
        <v>#DIV/0!</v>
      </c>
      <c r="O381" s="73">
        <f t="shared" si="33"/>
        <v>0</v>
      </c>
      <c r="P381" s="74">
        <f>IF(L381="nio",0,IF(L381&gt;0,VLOOKUP(H381,'3-Productie normen'!A:J,VLOOKUP(L381,'3-Productie normen'!$B$33:$C$38,2,FALSE),FALSE)))/VLOOKUP(B381,'2-Kosten per locatie'!$A$12:$C$23,3,FALSE)</f>
        <v>0</v>
      </c>
      <c r="Q381" s="74">
        <f t="shared" si="34"/>
        <v>0</v>
      </c>
      <c r="R381" s="75" t="str">
        <f>VLOOKUP(H381,'3-Productie normen'!A:L,12,FALSE)</f>
        <v>V</v>
      </c>
      <c r="S381" s="75"/>
      <c r="U381" s="41">
        <f t="shared" si="35"/>
        <v>3000</v>
      </c>
    </row>
    <row r="382" spans="1:21" ht="14.1" customHeight="1">
      <c r="A382" s="54">
        <f t="shared" si="30"/>
        <v>382</v>
      </c>
      <c r="B382" s="70" t="s">
        <v>423</v>
      </c>
      <c r="C382" s="70"/>
      <c r="D382" s="416" t="s">
        <v>424</v>
      </c>
      <c r="E382" s="416">
        <v>-1</v>
      </c>
      <c r="F382" s="71" t="s">
        <v>431</v>
      </c>
      <c r="G382" s="40" t="s">
        <v>432</v>
      </c>
      <c r="H382" s="40" t="s">
        <v>236</v>
      </c>
      <c r="I382" s="40" t="s">
        <v>428</v>
      </c>
      <c r="J382" s="460">
        <v>31</v>
      </c>
      <c r="K382" s="371">
        <f t="shared" si="31"/>
        <v>200</v>
      </c>
      <c r="L382" s="72">
        <v>200</v>
      </c>
      <c r="M382" s="72"/>
      <c r="N382" s="73" t="e">
        <f t="shared" si="32"/>
        <v>#DIV/0!</v>
      </c>
      <c r="O382" s="73">
        <f t="shared" si="33"/>
        <v>0</v>
      </c>
      <c r="P382" s="74">
        <f>IF(L382="nio",0,IF(L382&gt;0,VLOOKUP(H382,'3-Productie normen'!A:J,VLOOKUP(L382,'3-Productie normen'!$B$33:$C$38,2,FALSE),FALSE)))/VLOOKUP(B382,'2-Kosten per locatie'!$A$12:$C$23,3,FALSE)</f>
        <v>0</v>
      </c>
      <c r="Q382" s="74">
        <f t="shared" si="34"/>
        <v>0</v>
      </c>
      <c r="R382" s="75" t="str">
        <f>VLOOKUP(H382,'3-Productie normen'!A:L,12,FALSE)</f>
        <v>V</v>
      </c>
      <c r="S382" s="75"/>
      <c r="U382" s="41">
        <f t="shared" si="35"/>
        <v>6200</v>
      </c>
    </row>
    <row r="383" spans="1:21" ht="14.1" customHeight="1">
      <c r="A383" s="54">
        <f t="shared" si="30"/>
        <v>383</v>
      </c>
      <c r="B383" s="70" t="s">
        <v>423</v>
      </c>
      <c r="C383" s="70"/>
      <c r="D383" s="416" t="s">
        <v>424</v>
      </c>
      <c r="E383" s="416">
        <v>-1</v>
      </c>
      <c r="F383" s="71" t="s">
        <v>433</v>
      </c>
      <c r="G383" s="40" t="s">
        <v>434</v>
      </c>
      <c r="H383" s="40" t="s">
        <v>231</v>
      </c>
      <c r="I383" s="40" t="s">
        <v>435</v>
      </c>
      <c r="J383" s="460">
        <v>28.5</v>
      </c>
      <c r="K383" s="371">
        <f t="shared" si="31"/>
        <v>200</v>
      </c>
      <c r="L383" s="72">
        <v>200</v>
      </c>
      <c r="M383" s="72"/>
      <c r="N383" s="73" t="e">
        <f t="shared" si="32"/>
        <v>#DIV/0!</v>
      </c>
      <c r="O383" s="73">
        <f t="shared" si="33"/>
        <v>0</v>
      </c>
      <c r="P383" s="74">
        <f>IF(L383="nio",0,IF(L383&gt;0,VLOOKUP(H383,'3-Productie normen'!A:J,VLOOKUP(L383,'3-Productie normen'!$B$33:$C$38,2,FALSE),FALSE)))/VLOOKUP(B383,'2-Kosten per locatie'!$A$12:$C$23,3,FALSE)</f>
        <v>0</v>
      </c>
      <c r="Q383" s="74">
        <f t="shared" si="34"/>
        <v>0</v>
      </c>
      <c r="R383" s="75" t="str">
        <f>VLOOKUP(H383,'3-Productie normen'!A:L,12,FALSE)</f>
        <v>L</v>
      </c>
      <c r="S383" s="75"/>
      <c r="U383" s="41">
        <f t="shared" si="35"/>
        <v>5700</v>
      </c>
    </row>
    <row r="384" spans="1:21" ht="14.1" customHeight="1">
      <c r="A384" s="54">
        <f t="shared" si="30"/>
        <v>384</v>
      </c>
      <c r="B384" s="70" t="s">
        <v>423</v>
      </c>
      <c r="C384" s="70"/>
      <c r="D384" s="416" t="s">
        <v>424</v>
      </c>
      <c r="E384" s="416">
        <v>-1</v>
      </c>
      <c r="F384" s="71" t="s">
        <v>436</v>
      </c>
      <c r="G384" s="40" t="s">
        <v>347</v>
      </c>
      <c r="H384" s="40" t="s">
        <v>101</v>
      </c>
      <c r="I384" s="40" t="s">
        <v>93</v>
      </c>
      <c r="J384" s="460">
        <v>2.5</v>
      </c>
      <c r="K384" s="371">
        <f t="shared" si="31"/>
        <v>0</v>
      </c>
      <c r="L384" s="72" t="s">
        <v>101</v>
      </c>
      <c r="M384" s="72"/>
      <c r="N384" s="73">
        <f t="shared" si="32"/>
        <v>0</v>
      </c>
      <c r="O384" s="73">
        <f t="shared" si="33"/>
        <v>0</v>
      </c>
      <c r="P384" s="74">
        <f>IF(L384="nio",0,IF(L384&gt;0,VLOOKUP(H384,'3-Productie normen'!A:J,VLOOKUP(L384,'3-Productie normen'!$B$33:$C$38,2,FALSE),FALSE)))/VLOOKUP(B384,'2-Kosten per locatie'!$A$12:$C$23,3,FALSE)</f>
        <v>0</v>
      </c>
      <c r="Q384" s="74">
        <f t="shared" si="34"/>
        <v>0</v>
      </c>
      <c r="R384" s="75">
        <f>VLOOKUP(H384,'3-Productie normen'!A:L,12,FALSE)</f>
        <v>0</v>
      </c>
      <c r="S384" s="75"/>
      <c r="U384" s="41">
        <f t="shared" si="35"/>
        <v>0</v>
      </c>
    </row>
    <row r="385" spans="1:21" ht="14.1" customHeight="1">
      <c r="A385" s="54">
        <f t="shared" si="30"/>
        <v>385</v>
      </c>
      <c r="B385" s="70" t="s">
        <v>423</v>
      </c>
      <c r="C385" s="70"/>
      <c r="D385" s="416" t="s">
        <v>424</v>
      </c>
      <c r="E385" s="416">
        <v>-1</v>
      </c>
      <c r="F385" s="71" t="s">
        <v>437</v>
      </c>
      <c r="G385" s="40" t="s">
        <v>268</v>
      </c>
      <c r="H385" s="40" t="s">
        <v>232</v>
      </c>
      <c r="I385" s="40" t="s">
        <v>426</v>
      </c>
      <c r="J385" s="460">
        <v>3.5</v>
      </c>
      <c r="K385" s="371">
        <f t="shared" si="31"/>
        <v>200</v>
      </c>
      <c r="L385" s="72">
        <v>200</v>
      </c>
      <c r="M385" s="72"/>
      <c r="N385" s="73" t="e">
        <f t="shared" si="32"/>
        <v>#DIV/0!</v>
      </c>
      <c r="O385" s="73">
        <f t="shared" si="33"/>
        <v>0</v>
      </c>
      <c r="P385" s="74">
        <f>IF(L385="nio",0,IF(L385&gt;0,VLOOKUP(H385,'3-Productie normen'!A:J,VLOOKUP(L385,'3-Productie normen'!$B$33:$C$38,2,FALSE),FALSE)))/VLOOKUP(B385,'2-Kosten per locatie'!$A$12:$C$23,3,FALSE)</f>
        <v>0</v>
      </c>
      <c r="Q385" s="74">
        <f t="shared" si="34"/>
        <v>0</v>
      </c>
      <c r="R385" s="75" t="str">
        <f>VLOOKUP(H385,'3-Productie normen'!A:L,12,FALSE)</f>
        <v>V</v>
      </c>
      <c r="S385" s="75"/>
      <c r="U385" s="41">
        <f t="shared" si="35"/>
        <v>700</v>
      </c>
    </row>
    <row r="386" spans="1:21" ht="14.1" customHeight="1">
      <c r="A386" s="54">
        <f t="shared" si="30"/>
        <v>386</v>
      </c>
      <c r="B386" s="70" t="s">
        <v>423</v>
      </c>
      <c r="C386" s="70"/>
      <c r="D386" s="416" t="s">
        <v>424</v>
      </c>
      <c r="E386" s="416">
        <v>-1</v>
      </c>
      <c r="F386" s="71" t="s">
        <v>438</v>
      </c>
      <c r="G386" s="40" t="s">
        <v>255</v>
      </c>
      <c r="H386" s="40" t="s">
        <v>226</v>
      </c>
      <c r="I386" s="40" t="s">
        <v>426</v>
      </c>
      <c r="J386" s="460">
        <v>3.5</v>
      </c>
      <c r="K386" s="371">
        <f t="shared" si="31"/>
        <v>200</v>
      </c>
      <c r="L386" s="72">
        <v>200</v>
      </c>
      <c r="M386" s="72"/>
      <c r="N386" s="73" t="e">
        <f t="shared" si="32"/>
        <v>#DIV/0!</v>
      </c>
      <c r="O386" s="73">
        <f t="shared" si="33"/>
        <v>0</v>
      </c>
      <c r="P386" s="74">
        <f>IF(L386="nio",0,IF(L386&gt;0,VLOOKUP(H386,'3-Productie normen'!A:J,VLOOKUP(L386,'3-Productie normen'!$B$33:$C$38,2,FALSE),FALSE)))/VLOOKUP(B386,'2-Kosten per locatie'!$A$12:$C$23,3,FALSE)</f>
        <v>0</v>
      </c>
      <c r="Q386" s="74">
        <f t="shared" si="34"/>
        <v>0</v>
      </c>
      <c r="R386" s="75" t="str">
        <f>VLOOKUP(H386,'3-Productie normen'!A:L,12,FALSE)</f>
        <v>V</v>
      </c>
      <c r="S386" s="75"/>
      <c r="U386" s="41">
        <f t="shared" si="35"/>
        <v>700</v>
      </c>
    </row>
    <row r="387" spans="1:21" ht="14.1" customHeight="1">
      <c r="A387" s="54">
        <f t="shared" ref="A387:A450" si="36">A386+1</f>
        <v>387</v>
      </c>
      <c r="B387" s="70" t="s">
        <v>423</v>
      </c>
      <c r="C387" s="70"/>
      <c r="D387" s="416" t="s">
        <v>424</v>
      </c>
      <c r="E387" s="416" t="s">
        <v>89</v>
      </c>
      <c r="F387" s="71" t="s">
        <v>439</v>
      </c>
      <c r="G387" s="40" t="s">
        <v>440</v>
      </c>
      <c r="H387" s="40" t="s">
        <v>232</v>
      </c>
      <c r="I387" s="40" t="s">
        <v>426</v>
      </c>
      <c r="J387" s="460">
        <v>30</v>
      </c>
      <c r="K387" s="371">
        <f t="shared" si="31"/>
        <v>200</v>
      </c>
      <c r="L387" s="72">
        <v>200</v>
      </c>
      <c r="M387" s="72"/>
      <c r="N387" s="73" t="e">
        <f t="shared" si="32"/>
        <v>#DIV/0!</v>
      </c>
      <c r="O387" s="73">
        <f t="shared" si="33"/>
        <v>0</v>
      </c>
      <c r="P387" s="74">
        <f>IF(L387="nio",0,IF(L387&gt;0,VLOOKUP(H387,'3-Productie normen'!A:J,VLOOKUP(L387,'3-Productie normen'!$B$33:$C$38,2,FALSE),FALSE)))/VLOOKUP(B387,'2-Kosten per locatie'!$A$12:$C$23,3,FALSE)</f>
        <v>0</v>
      </c>
      <c r="Q387" s="74">
        <f t="shared" si="34"/>
        <v>0</v>
      </c>
      <c r="R387" s="75" t="str">
        <f>VLOOKUP(H387,'3-Productie normen'!A:L,12,FALSE)</f>
        <v>V</v>
      </c>
      <c r="S387" s="75"/>
      <c r="U387" s="41">
        <f t="shared" si="35"/>
        <v>6000</v>
      </c>
    </row>
    <row r="388" spans="1:21" ht="14.1" customHeight="1">
      <c r="A388" s="54">
        <f t="shared" si="36"/>
        <v>388</v>
      </c>
      <c r="B388" s="70" t="s">
        <v>423</v>
      </c>
      <c r="C388" s="70"/>
      <c r="D388" s="416" t="s">
        <v>424</v>
      </c>
      <c r="E388" s="416" t="s">
        <v>89</v>
      </c>
      <c r="F388" s="71" t="s">
        <v>441</v>
      </c>
      <c r="G388" s="40" t="s">
        <v>268</v>
      </c>
      <c r="H388" s="40" t="s">
        <v>232</v>
      </c>
      <c r="I388" s="40" t="s">
        <v>426</v>
      </c>
      <c r="J388" s="460">
        <v>57.14</v>
      </c>
      <c r="K388" s="371">
        <f t="shared" si="31"/>
        <v>200</v>
      </c>
      <c r="L388" s="72">
        <v>200</v>
      </c>
      <c r="M388" s="72"/>
      <c r="N388" s="73" t="e">
        <f t="shared" si="32"/>
        <v>#DIV/0!</v>
      </c>
      <c r="O388" s="73">
        <f t="shared" si="33"/>
        <v>0</v>
      </c>
      <c r="P388" s="74">
        <f>IF(L388="nio",0,IF(L388&gt;0,VLOOKUP(H388,'3-Productie normen'!A:J,VLOOKUP(L388,'3-Productie normen'!$B$33:$C$38,2,FALSE),FALSE)))/VLOOKUP(B388,'2-Kosten per locatie'!$A$12:$C$23,3,FALSE)</f>
        <v>0</v>
      </c>
      <c r="Q388" s="74">
        <f t="shared" si="34"/>
        <v>0</v>
      </c>
      <c r="R388" s="75" t="str">
        <f>VLOOKUP(H388,'3-Productie normen'!A:L,12,FALSE)</f>
        <v>V</v>
      </c>
      <c r="S388" s="75"/>
      <c r="U388" s="41">
        <f t="shared" si="35"/>
        <v>11428</v>
      </c>
    </row>
    <row r="389" spans="1:21" ht="14.1" customHeight="1">
      <c r="A389" s="54">
        <f t="shared" si="36"/>
        <v>389</v>
      </c>
      <c r="B389" s="70" t="s">
        <v>423</v>
      </c>
      <c r="C389" s="70"/>
      <c r="D389" s="416" t="s">
        <v>424</v>
      </c>
      <c r="E389" s="416" t="s">
        <v>89</v>
      </c>
      <c r="F389" s="71" t="s">
        <v>442</v>
      </c>
      <c r="G389" s="40" t="s">
        <v>443</v>
      </c>
      <c r="H389" s="40" t="s">
        <v>17</v>
      </c>
      <c r="I389" s="40" t="s">
        <v>444</v>
      </c>
      <c r="J389" s="460">
        <v>9.1</v>
      </c>
      <c r="K389" s="371">
        <f t="shared" si="31"/>
        <v>200</v>
      </c>
      <c r="L389" s="72">
        <v>200</v>
      </c>
      <c r="M389" s="72"/>
      <c r="N389" s="73" t="e">
        <f t="shared" si="32"/>
        <v>#DIV/0!</v>
      </c>
      <c r="O389" s="73">
        <f t="shared" si="33"/>
        <v>0</v>
      </c>
      <c r="P389" s="74">
        <f>IF(L389="nio",0,IF(L389&gt;0,VLOOKUP(H389,'3-Productie normen'!A:J,VLOOKUP(L389,'3-Productie normen'!$B$33:$C$38,2,FALSE),FALSE)))/VLOOKUP(B389,'2-Kosten per locatie'!$A$12:$C$23,3,FALSE)</f>
        <v>0</v>
      </c>
      <c r="Q389" s="74">
        <f t="shared" si="34"/>
        <v>0</v>
      </c>
      <c r="R389" s="75" t="str">
        <f>VLOOKUP(H389,'3-Productie normen'!A:L,12,FALSE)</f>
        <v>S</v>
      </c>
      <c r="S389" s="75"/>
      <c r="U389" s="41">
        <f t="shared" si="35"/>
        <v>1820</v>
      </c>
    </row>
    <row r="390" spans="1:21" ht="14.1" customHeight="1">
      <c r="A390" s="54">
        <f t="shared" si="36"/>
        <v>390</v>
      </c>
      <c r="B390" s="70" t="s">
        <v>423</v>
      </c>
      <c r="C390" s="70"/>
      <c r="D390" s="416" t="s">
        <v>424</v>
      </c>
      <c r="E390" s="416" t="s">
        <v>89</v>
      </c>
      <c r="F390" s="71" t="s">
        <v>445</v>
      </c>
      <c r="G390" s="40" t="s">
        <v>443</v>
      </c>
      <c r="H390" s="40" t="s">
        <v>17</v>
      </c>
      <c r="I390" s="40" t="s">
        <v>444</v>
      </c>
      <c r="J390" s="460">
        <v>9.1</v>
      </c>
      <c r="K390" s="371">
        <f t="shared" si="31"/>
        <v>200</v>
      </c>
      <c r="L390" s="72">
        <v>200</v>
      </c>
      <c r="M390" s="72"/>
      <c r="N390" s="73" t="e">
        <f t="shared" si="32"/>
        <v>#DIV/0!</v>
      </c>
      <c r="O390" s="73">
        <f t="shared" si="33"/>
        <v>0</v>
      </c>
      <c r="P390" s="74">
        <f>IF(L390="nio",0,IF(L390&gt;0,VLOOKUP(H390,'3-Productie normen'!A:J,VLOOKUP(L390,'3-Productie normen'!$B$33:$C$38,2,FALSE),FALSE)))/VLOOKUP(B390,'2-Kosten per locatie'!$A$12:$C$23,3,FALSE)</f>
        <v>0</v>
      </c>
      <c r="Q390" s="74">
        <f t="shared" si="34"/>
        <v>0</v>
      </c>
      <c r="R390" s="75" t="str">
        <f>VLOOKUP(H390,'3-Productie normen'!A:L,12,FALSE)</f>
        <v>S</v>
      </c>
      <c r="S390" s="75"/>
      <c r="U390" s="41">
        <f t="shared" si="35"/>
        <v>1820</v>
      </c>
    </row>
    <row r="391" spans="1:21" ht="14.1" customHeight="1">
      <c r="A391" s="54">
        <f t="shared" si="36"/>
        <v>391</v>
      </c>
      <c r="B391" s="70" t="s">
        <v>423</v>
      </c>
      <c r="C391" s="70"/>
      <c r="D391" s="416" t="s">
        <v>424</v>
      </c>
      <c r="E391" s="416" t="s">
        <v>89</v>
      </c>
      <c r="F391" s="71" t="s">
        <v>446</v>
      </c>
      <c r="G391" s="40" t="s">
        <v>447</v>
      </c>
      <c r="H391" s="40" t="s">
        <v>233</v>
      </c>
      <c r="I391" s="40" t="s">
        <v>435</v>
      </c>
      <c r="J391" s="460">
        <v>54</v>
      </c>
      <c r="K391" s="371">
        <f t="shared" si="31"/>
        <v>200</v>
      </c>
      <c r="L391" s="72">
        <v>200</v>
      </c>
      <c r="M391" s="72"/>
      <c r="N391" s="73" t="e">
        <f t="shared" si="32"/>
        <v>#DIV/0!</v>
      </c>
      <c r="O391" s="73">
        <f t="shared" si="33"/>
        <v>0</v>
      </c>
      <c r="P391" s="74">
        <f>IF(L391="nio",0,IF(L391&gt;0,VLOOKUP(H391,'3-Productie normen'!A:J,VLOOKUP(L391,'3-Productie normen'!$B$33:$C$38,2,FALSE),FALSE)))/VLOOKUP(B391,'2-Kosten per locatie'!$A$12:$C$23,3,FALSE)</f>
        <v>0</v>
      </c>
      <c r="Q391" s="74">
        <f t="shared" si="34"/>
        <v>0</v>
      </c>
      <c r="R391" s="75" t="str">
        <f>VLOOKUP(H391,'3-Productie normen'!A:L,12,FALSE)</f>
        <v>L</v>
      </c>
      <c r="S391" s="75"/>
      <c r="U391" s="41">
        <f t="shared" si="35"/>
        <v>10800</v>
      </c>
    </row>
    <row r="392" spans="1:21" ht="14.1" customHeight="1">
      <c r="A392" s="54">
        <f t="shared" si="36"/>
        <v>392</v>
      </c>
      <c r="B392" s="70" t="s">
        <v>423</v>
      </c>
      <c r="C392" s="70"/>
      <c r="D392" s="416" t="s">
        <v>424</v>
      </c>
      <c r="E392" s="416" t="s">
        <v>89</v>
      </c>
      <c r="F392" s="71" t="s">
        <v>300</v>
      </c>
      <c r="G392" s="40" t="s">
        <v>447</v>
      </c>
      <c r="H392" s="40" t="s">
        <v>233</v>
      </c>
      <c r="I392" s="40" t="s">
        <v>435</v>
      </c>
      <c r="J392" s="460">
        <v>54</v>
      </c>
      <c r="K392" s="371">
        <f t="shared" si="31"/>
        <v>200</v>
      </c>
      <c r="L392" s="72">
        <v>200</v>
      </c>
      <c r="M392" s="72"/>
      <c r="N392" s="73" t="e">
        <f t="shared" si="32"/>
        <v>#DIV/0!</v>
      </c>
      <c r="O392" s="73">
        <f t="shared" si="33"/>
        <v>0</v>
      </c>
      <c r="P392" s="74">
        <f>IF(L392="nio",0,IF(L392&gt;0,VLOOKUP(H392,'3-Productie normen'!A:J,VLOOKUP(L392,'3-Productie normen'!$B$33:$C$38,2,FALSE),FALSE)))/VLOOKUP(B392,'2-Kosten per locatie'!$A$12:$C$23,3,FALSE)</f>
        <v>0</v>
      </c>
      <c r="Q392" s="74">
        <f t="shared" si="34"/>
        <v>0</v>
      </c>
      <c r="R392" s="75" t="str">
        <f>VLOOKUP(H392,'3-Productie normen'!A:L,12,FALSE)</f>
        <v>L</v>
      </c>
      <c r="S392" s="75"/>
      <c r="U392" s="41">
        <f t="shared" si="35"/>
        <v>10800</v>
      </c>
    </row>
    <row r="393" spans="1:21" ht="14.1" customHeight="1">
      <c r="A393" s="54">
        <f t="shared" si="36"/>
        <v>393</v>
      </c>
      <c r="B393" s="70" t="s">
        <v>423</v>
      </c>
      <c r="C393" s="70"/>
      <c r="D393" s="416" t="s">
        <v>424</v>
      </c>
      <c r="E393" s="416" t="s">
        <v>89</v>
      </c>
      <c r="F393" s="71" t="s">
        <v>301</v>
      </c>
      <c r="G393" s="40" t="s">
        <v>447</v>
      </c>
      <c r="H393" s="40" t="s">
        <v>233</v>
      </c>
      <c r="I393" s="40" t="s">
        <v>435</v>
      </c>
      <c r="J393" s="460">
        <v>54</v>
      </c>
      <c r="K393" s="371">
        <f t="shared" si="31"/>
        <v>200</v>
      </c>
      <c r="L393" s="72">
        <v>200</v>
      </c>
      <c r="M393" s="72"/>
      <c r="N393" s="73" t="e">
        <f t="shared" si="32"/>
        <v>#DIV/0!</v>
      </c>
      <c r="O393" s="73">
        <f t="shared" si="33"/>
        <v>0</v>
      </c>
      <c r="P393" s="74">
        <f>IF(L393="nio",0,IF(L393&gt;0,VLOOKUP(H393,'3-Productie normen'!A:J,VLOOKUP(L393,'3-Productie normen'!$B$33:$C$38,2,FALSE),FALSE)))/VLOOKUP(B393,'2-Kosten per locatie'!$A$12:$C$23,3,FALSE)</f>
        <v>0</v>
      </c>
      <c r="Q393" s="74">
        <f t="shared" si="34"/>
        <v>0</v>
      </c>
      <c r="R393" s="75" t="str">
        <f>VLOOKUP(H393,'3-Productie normen'!A:L,12,FALSE)</f>
        <v>L</v>
      </c>
      <c r="S393" s="75"/>
      <c r="U393" s="41">
        <f t="shared" si="35"/>
        <v>10800</v>
      </c>
    </row>
    <row r="394" spans="1:21" ht="14.1" customHeight="1">
      <c r="A394" s="54">
        <f t="shared" si="36"/>
        <v>394</v>
      </c>
      <c r="B394" s="70" t="s">
        <v>423</v>
      </c>
      <c r="C394" s="70"/>
      <c r="D394" s="416" t="s">
        <v>424</v>
      </c>
      <c r="E394" s="416" t="s">
        <v>89</v>
      </c>
      <c r="F394" s="71" t="s">
        <v>302</v>
      </c>
      <c r="G394" s="40" t="s">
        <v>447</v>
      </c>
      <c r="H394" s="40" t="s">
        <v>233</v>
      </c>
      <c r="I394" s="40" t="s">
        <v>435</v>
      </c>
      <c r="J394" s="460">
        <v>54</v>
      </c>
      <c r="K394" s="371">
        <f t="shared" ref="K394:K457" si="37">SUM(L394:M394)</f>
        <v>200</v>
      </c>
      <c r="L394" s="72">
        <v>200</v>
      </c>
      <c r="M394" s="72"/>
      <c r="N394" s="73" t="e">
        <f t="shared" ref="N394:N457" si="38">IF(L394="nio",0,IF(L394&gt;0,L394*J394/P394,0))</f>
        <v>#DIV/0!</v>
      </c>
      <c r="O394" s="73">
        <f t="shared" ref="O394:O457" si="39">IF(M394&gt;0,M394*J394/Q394,0)</f>
        <v>0</v>
      </c>
      <c r="P394" s="74">
        <f>IF(L394="nio",0,IF(L394&gt;0,VLOOKUP(H394,'3-Productie normen'!A:J,VLOOKUP(L394,'3-Productie normen'!$B$33:$C$38,2,FALSE),FALSE)))/VLOOKUP(B394,'2-Kosten per locatie'!$A$12:$C$23,3,FALSE)</f>
        <v>0</v>
      </c>
      <c r="Q394" s="74">
        <f t="shared" ref="Q394:Q457" si="40">IF(M394&gt;0,P394*$Q$8,0)</f>
        <v>0</v>
      </c>
      <c r="R394" s="75" t="str">
        <f>VLOOKUP(H394,'3-Productie normen'!A:L,12,FALSE)</f>
        <v>L</v>
      </c>
      <c r="S394" s="75"/>
      <c r="U394" s="41">
        <f t="shared" ref="U394:U457" si="41">K394*J394</f>
        <v>10800</v>
      </c>
    </row>
    <row r="395" spans="1:21" ht="14.1" customHeight="1">
      <c r="A395" s="54">
        <f t="shared" si="36"/>
        <v>395</v>
      </c>
      <c r="B395" s="70" t="s">
        <v>423</v>
      </c>
      <c r="C395" s="70"/>
      <c r="D395" s="416" t="s">
        <v>424</v>
      </c>
      <c r="E395" s="416" t="s">
        <v>89</v>
      </c>
      <c r="F395" s="71" t="s">
        <v>303</v>
      </c>
      <c r="G395" s="40" t="s">
        <v>268</v>
      </c>
      <c r="H395" s="40" t="s">
        <v>232</v>
      </c>
      <c r="I395" s="40" t="s">
        <v>426</v>
      </c>
      <c r="J395" s="460">
        <v>68.5</v>
      </c>
      <c r="K395" s="371">
        <f t="shared" si="37"/>
        <v>200</v>
      </c>
      <c r="L395" s="72">
        <v>200</v>
      </c>
      <c r="M395" s="72"/>
      <c r="N395" s="73" t="e">
        <f t="shared" si="38"/>
        <v>#DIV/0!</v>
      </c>
      <c r="O395" s="73">
        <f t="shared" si="39"/>
        <v>0</v>
      </c>
      <c r="P395" s="74">
        <f>IF(L395="nio",0,IF(L395&gt;0,VLOOKUP(H395,'3-Productie normen'!A:J,VLOOKUP(L395,'3-Productie normen'!$B$33:$C$38,2,FALSE),FALSE)))/VLOOKUP(B395,'2-Kosten per locatie'!$A$12:$C$23,3,FALSE)</f>
        <v>0</v>
      </c>
      <c r="Q395" s="74">
        <f t="shared" si="40"/>
        <v>0</v>
      </c>
      <c r="R395" s="75" t="str">
        <f>VLOOKUP(H395,'3-Productie normen'!A:L,12,FALSE)</f>
        <v>V</v>
      </c>
      <c r="S395" s="75"/>
      <c r="U395" s="41">
        <f t="shared" si="41"/>
        <v>13700</v>
      </c>
    </row>
    <row r="396" spans="1:21" ht="14.1" customHeight="1">
      <c r="A396" s="54">
        <f t="shared" si="36"/>
        <v>396</v>
      </c>
      <c r="B396" s="70" t="s">
        <v>423</v>
      </c>
      <c r="C396" s="70"/>
      <c r="D396" s="416" t="s">
        <v>424</v>
      </c>
      <c r="E396" s="416" t="s">
        <v>89</v>
      </c>
      <c r="F396" s="71" t="s">
        <v>304</v>
      </c>
      <c r="G396" s="40" t="s">
        <v>434</v>
      </c>
      <c r="H396" s="40" t="s">
        <v>231</v>
      </c>
      <c r="I396" s="40" t="s">
        <v>435</v>
      </c>
      <c r="J396" s="460">
        <v>24.76</v>
      </c>
      <c r="K396" s="371">
        <f t="shared" si="37"/>
        <v>200</v>
      </c>
      <c r="L396" s="72">
        <v>200</v>
      </c>
      <c r="M396" s="72"/>
      <c r="N396" s="73" t="e">
        <f t="shared" si="38"/>
        <v>#DIV/0!</v>
      </c>
      <c r="O396" s="73">
        <f t="shared" si="39"/>
        <v>0</v>
      </c>
      <c r="P396" s="74">
        <f>IF(L396="nio",0,IF(L396&gt;0,VLOOKUP(H396,'3-Productie normen'!A:J,VLOOKUP(L396,'3-Productie normen'!$B$33:$C$38,2,FALSE),FALSE)))/VLOOKUP(B396,'2-Kosten per locatie'!$A$12:$C$23,3,FALSE)</f>
        <v>0</v>
      </c>
      <c r="Q396" s="74">
        <f t="shared" si="40"/>
        <v>0</v>
      </c>
      <c r="R396" s="75" t="str">
        <f>VLOOKUP(H396,'3-Productie normen'!A:L,12,FALSE)</f>
        <v>L</v>
      </c>
      <c r="S396" s="75"/>
      <c r="U396" s="41">
        <f t="shared" si="41"/>
        <v>4952</v>
      </c>
    </row>
    <row r="397" spans="1:21" ht="14.1" customHeight="1">
      <c r="A397" s="54">
        <f t="shared" si="36"/>
        <v>397</v>
      </c>
      <c r="B397" s="70" t="s">
        <v>423</v>
      </c>
      <c r="C397" s="70"/>
      <c r="D397" s="416" t="s">
        <v>424</v>
      </c>
      <c r="E397" s="416" t="s">
        <v>89</v>
      </c>
      <c r="F397" s="71" t="s">
        <v>305</v>
      </c>
      <c r="G397" s="40" t="s">
        <v>347</v>
      </c>
      <c r="H397" s="40" t="s">
        <v>101</v>
      </c>
      <c r="I397" s="40" t="s">
        <v>435</v>
      </c>
      <c r="J397" s="460">
        <v>5.2</v>
      </c>
      <c r="K397" s="371">
        <f t="shared" si="37"/>
        <v>0</v>
      </c>
      <c r="L397" s="72" t="s">
        <v>101</v>
      </c>
      <c r="M397" s="72"/>
      <c r="N397" s="73">
        <f t="shared" si="38"/>
        <v>0</v>
      </c>
      <c r="O397" s="73">
        <f t="shared" si="39"/>
        <v>0</v>
      </c>
      <c r="P397" s="74">
        <f>IF(L397="nio",0,IF(L397&gt;0,VLOOKUP(H397,'3-Productie normen'!A:J,VLOOKUP(L397,'3-Productie normen'!$B$33:$C$38,2,FALSE),FALSE)))/VLOOKUP(B397,'2-Kosten per locatie'!$A$12:$C$23,3,FALSE)</f>
        <v>0</v>
      </c>
      <c r="Q397" s="74">
        <f t="shared" si="40"/>
        <v>0</v>
      </c>
      <c r="R397" s="75">
        <f>VLOOKUP(H397,'3-Productie normen'!A:L,12,FALSE)</f>
        <v>0</v>
      </c>
      <c r="S397" s="75"/>
      <c r="U397" s="41">
        <f t="shared" si="41"/>
        <v>0</v>
      </c>
    </row>
    <row r="398" spans="1:21" ht="14.1" customHeight="1">
      <c r="A398" s="54">
        <f t="shared" si="36"/>
        <v>398</v>
      </c>
      <c r="B398" s="70" t="s">
        <v>423</v>
      </c>
      <c r="C398" s="70"/>
      <c r="D398" s="416" t="s">
        <v>424</v>
      </c>
      <c r="E398" s="416" t="s">
        <v>89</v>
      </c>
      <c r="F398" s="71" t="s">
        <v>306</v>
      </c>
      <c r="G398" s="40" t="s">
        <v>263</v>
      </c>
      <c r="H398" s="40" t="s">
        <v>101</v>
      </c>
      <c r="I398" s="40" t="s">
        <v>444</v>
      </c>
      <c r="J398" s="460">
        <v>4</v>
      </c>
      <c r="K398" s="371">
        <f t="shared" si="37"/>
        <v>0</v>
      </c>
      <c r="L398" s="72" t="s">
        <v>101</v>
      </c>
      <c r="M398" s="72"/>
      <c r="N398" s="73">
        <f t="shared" si="38"/>
        <v>0</v>
      </c>
      <c r="O398" s="73">
        <f t="shared" si="39"/>
        <v>0</v>
      </c>
      <c r="P398" s="74">
        <f>IF(L398="nio",0,IF(L398&gt;0,VLOOKUP(H398,'3-Productie normen'!A:J,VLOOKUP(L398,'3-Productie normen'!$B$33:$C$38,2,FALSE),FALSE)))/VLOOKUP(B398,'2-Kosten per locatie'!$A$12:$C$23,3,FALSE)</f>
        <v>0</v>
      </c>
      <c r="Q398" s="74">
        <f t="shared" si="40"/>
        <v>0</v>
      </c>
      <c r="R398" s="75">
        <f>VLOOKUP(H398,'3-Productie normen'!A:L,12,FALSE)</f>
        <v>0</v>
      </c>
      <c r="S398" s="75"/>
      <c r="U398" s="41">
        <f t="shared" si="41"/>
        <v>0</v>
      </c>
    </row>
    <row r="399" spans="1:21" ht="14.1" customHeight="1">
      <c r="A399" s="54">
        <f t="shared" si="36"/>
        <v>399</v>
      </c>
      <c r="B399" s="70" t="s">
        <v>423</v>
      </c>
      <c r="C399" s="70"/>
      <c r="D399" s="416" t="s">
        <v>424</v>
      </c>
      <c r="E399" s="416" t="s">
        <v>89</v>
      </c>
      <c r="F399" s="71" t="s">
        <v>307</v>
      </c>
      <c r="G399" s="40" t="s">
        <v>448</v>
      </c>
      <c r="H399" s="40" t="s">
        <v>17</v>
      </c>
      <c r="I399" s="40" t="s">
        <v>444</v>
      </c>
      <c r="J399" s="460">
        <v>4</v>
      </c>
      <c r="K399" s="371">
        <f t="shared" si="37"/>
        <v>200</v>
      </c>
      <c r="L399" s="72">
        <v>200</v>
      </c>
      <c r="M399" s="72"/>
      <c r="N399" s="73" t="e">
        <f t="shared" si="38"/>
        <v>#DIV/0!</v>
      </c>
      <c r="O399" s="73">
        <f t="shared" si="39"/>
        <v>0</v>
      </c>
      <c r="P399" s="74">
        <f>IF(L399="nio",0,IF(L399&gt;0,VLOOKUP(H399,'3-Productie normen'!A:J,VLOOKUP(L399,'3-Productie normen'!$B$33:$C$38,2,FALSE),FALSE)))/VLOOKUP(B399,'2-Kosten per locatie'!$A$12:$C$23,3,FALSE)</f>
        <v>0</v>
      </c>
      <c r="Q399" s="74">
        <f t="shared" si="40"/>
        <v>0</v>
      </c>
      <c r="R399" s="75" t="str">
        <f>VLOOKUP(H399,'3-Productie normen'!A:L,12,FALSE)</f>
        <v>S</v>
      </c>
      <c r="S399" s="75"/>
      <c r="U399" s="41">
        <f t="shared" si="41"/>
        <v>800</v>
      </c>
    </row>
    <row r="400" spans="1:21" ht="14.1" customHeight="1">
      <c r="A400" s="54">
        <f t="shared" si="36"/>
        <v>400</v>
      </c>
      <c r="B400" s="70" t="s">
        <v>423</v>
      </c>
      <c r="C400" s="70"/>
      <c r="D400" s="416" t="s">
        <v>424</v>
      </c>
      <c r="E400" s="416" t="s">
        <v>89</v>
      </c>
      <c r="F400" s="71" t="s">
        <v>308</v>
      </c>
      <c r="G400" s="40" t="s">
        <v>243</v>
      </c>
      <c r="H400" s="40" t="s">
        <v>176</v>
      </c>
      <c r="I400" s="40" t="s">
        <v>435</v>
      </c>
      <c r="J400" s="460">
        <v>17</v>
      </c>
      <c r="K400" s="371">
        <f t="shared" si="37"/>
        <v>200</v>
      </c>
      <c r="L400" s="72">
        <v>200</v>
      </c>
      <c r="M400" s="72"/>
      <c r="N400" s="73" t="e">
        <f t="shared" si="38"/>
        <v>#DIV/0!</v>
      </c>
      <c r="O400" s="73">
        <f t="shared" si="39"/>
        <v>0</v>
      </c>
      <c r="P400" s="74">
        <f>IF(L400="nio",0,IF(L400&gt;0,VLOOKUP(H400,'3-Productie normen'!A:J,VLOOKUP(L400,'3-Productie normen'!$B$33:$C$38,2,FALSE),FALSE)))/VLOOKUP(B400,'2-Kosten per locatie'!$A$12:$C$23,3,FALSE)</f>
        <v>0</v>
      </c>
      <c r="Q400" s="74">
        <f t="shared" si="40"/>
        <v>0</v>
      </c>
      <c r="R400" s="75" t="str">
        <f>VLOOKUP(H400,'3-Productie normen'!A:L,12,FALSE)</f>
        <v>B</v>
      </c>
      <c r="S400" s="75"/>
      <c r="U400" s="41">
        <f t="shared" si="41"/>
        <v>3400</v>
      </c>
    </row>
    <row r="401" spans="1:21" ht="14.1" customHeight="1">
      <c r="A401" s="54">
        <f t="shared" si="36"/>
        <v>401</v>
      </c>
      <c r="B401" s="70" t="s">
        <v>423</v>
      </c>
      <c r="C401" s="70"/>
      <c r="D401" s="416" t="s">
        <v>424</v>
      </c>
      <c r="E401" s="416" t="s">
        <v>89</v>
      </c>
      <c r="F401" s="71" t="s">
        <v>309</v>
      </c>
      <c r="G401" s="40" t="s">
        <v>443</v>
      </c>
      <c r="H401" s="40" t="s">
        <v>17</v>
      </c>
      <c r="I401" s="40" t="s">
        <v>444</v>
      </c>
      <c r="J401" s="460">
        <v>8</v>
      </c>
      <c r="K401" s="371">
        <f t="shared" si="37"/>
        <v>200</v>
      </c>
      <c r="L401" s="72">
        <v>200</v>
      </c>
      <c r="M401" s="72"/>
      <c r="N401" s="73" t="e">
        <f t="shared" si="38"/>
        <v>#DIV/0!</v>
      </c>
      <c r="O401" s="73">
        <f t="shared" si="39"/>
        <v>0</v>
      </c>
      <c r="P401" s="74">
        <f>IF(L401="nio",0,IF(L401&gt;0,VLOOKUP(H401,'3-Productie normen'!A:J,VLOOKUP(L401,'3-Productie normen'!$B$33:$C$38,2,FALSE),FALSE)))/VLOOKUP(B401,'2-Kosten per locatie'!$A$12:$C$23,3,FALSE)</f>
        <v>0</v>
      </c>
      <c r="Q401" s="74">
        <f t="shared" si="40"/>
        <v>0</v>
      </c>
      <c r="R401" s="75" t="str">
        <f>VLOOKUP(H401,'3-Productie normen'!A:L,12,FALSE)</f>
        <v>S</v>
      </c>
      <c r="S401" s="75"/>
      <c r="U401" s="41">
        <f t="shared" si="41"/>
        <v>1600</v>
      </c>
    </row>
    <row r="402" spans="1:21" ht="14.1" customHeight="1">
      <c r="A402" s="54">
        <f t="shared" si="36"/>
        <v>402</v>
      </c>
      <c r="B402" s="70" t="s">
        <v>423</v>
      </c>
      <c r="C402" s="70"/>
      <c r="D402" s="416" t="s">
        <v>424</v>
      </c>
      <c r="E402" s="416" t="s">
        <v>89</v>
      </c>
      <c r="F402" s="71" t="s">
        <v>310</v>
      </c>
      <c r="G402" s="40" t="s">
        <v>449</v>
      </c>
      <c r="H402" s="40" t="s">
        <v>101</v>
      </c>
      <c r="I402" s="40" t="s">
        <v>426</v>
      </c>
      <c r="J402" s="460">
        <v>3</v>
      </c>
      <c r="K402" s="371">
        <f t="shared" si="37"/>
        <v>0</v>
      </c>
      <c r="L402" s="72" t="s">
        <v>101</v>
      </c>
      <c r="M402" s="72"/>
      <c r="N402" s="73">
        <f t="shared" si="38"/>
        <v>0</v>
      </c>
      <c r="O402" s="73">
        <f t="shared" si="39"/>
        <v>0</v>
      </c>
      <c r="P402" s="74">
        <f>IF(L402="nio",0,IF(L402&gt;0,VLOOKUP(H402,'3-Productie normen'!A:J,VLOOKUP(L402,'3-Productie normen'!$B$33:$C$38,2,FALSE),FALSE)))/VLOOKUP(B402,'2-Kosten per locatie'!$A$12:$C$23,3,FALSE)</f>
        <v>0</v>
      </c>
      <c r="Q402" s="74">
        <f t="shared" si="40"/>
        <v>0</v>
      </c>
      <c r="R402" s="75">
        <f>VLOOKUP(H402,'3-Productie normen'!A:L,12,FALSE)</f>
        <v>0</v>
      </c>
      <c r="S402" s="75"/>
      <c r="U402" s="41">
        <f t="shared" si="41"/>
        <v>0</v>
      </c>
    </row>
    <row r="403" spans="1:21" ht="14.1" customHeight="1">
      <c r="A403" s="54">
        <f t="shared" si="36"/>
        <v>403</v>
      </c>
      <c r="B403" s="70" t="s">
        <v>423</v>
      </c>
      <c r="C403" s="70"/>
      <c r="D403" s="416" t="s">
        <v>424</v>
      </c>
      <c r="E403" s="416" t="s">
        <v>89</v>
      </c>
      <c r="F403" s="71" t="s">
        <v>311</v>
      </c>
      <c r="G403" s="40" t="s">
        <v>434</v>
      </c>
      <c r="H403" s="40" t="s">
        <v>231</v>
      </c>
      <c r="I403" s="40" t="s">
        <v>426</v>
      </c>
      <c r="J403" s="460">
        <v>75</v>
      </c>
      <c r="K403" s="371">
        <f t="shared" si="37"/>
        <v>200</v>
      </c>
      <c r="L403" s="72">
        <v>200</v>
      </c>
      <c r="M403" s="72"/>
      <c r="N403" s="73" t="e">
        <f t="shared" si="38"/>
        <v>#DIV/0!</v>
      </c>
      <c r="O403" s="73">
        <f t="shared" si="39"/>
        <v>0</v>
      </c>
      <c r="P403" s="74">
        <f>IF(L403="nio",0,IF(L403&gt;0,VLOOKUP(H403,'3-Productie normen'!A:J,VLOOKUP(L403,'3-Productie normen'!$B$33:$C$38,2,FALSE),FALSE)))/VLOOKUP(B403,'2-Kosten per locatie'!$A$12:$C$23,3,FALSE)</f>
        <v>0</v>
      </c>
      <c r="Q403" s="74">
        <f t="shared" si="40"/>
        <v>0</v>
      </c>
      <c r="R403" s="75" t="str">
        <f>VLOOKUP(H403,'3-Productie normen'!A:L,12,FALSE)</f>
        <v>L</v>
      </c>
      <c r="S403" s="75"/>
      <c r="U403" s="41">
        <f t="shared" si="41"/>
        <v>15000</v>
      </c>
    </row>
    <row r="404" spans="1:21" ht="14.1" customHeight="1">
      <c r="A404" s="54">
        <f t="shared" si="36"/>
        <v>404</v>
      </c>
      <c r="B404" s="70" t="s">
        <v>423</v>
      </c>
      <c r="C404" s="70"/>
      <c r="D404" s="416" t="s">
        <v>424</v>
      </c>
      <c r="E404" s="416" t="s">
        <v>89</v>
      </c>
      <c r="F404" s="71" t="s">
        <v>312</v>
      </c>
      <c r="G404" s="40" t="s">
        <v>434</v>
      </c>
      <c r="H404" s="40" t="s">
        <v>101</v>
      </c>
      <c r="I404" s="40" t="s">
        <v>426</v>
      </c>
      <c r="J404" s="460">
        <v>14</v>
      </c>
      <c r="K404" s="371">
        <f t="shared" si="37"/>
        <v>0</v>
      </c>
      <c r="L404" s="72" t="s">
        <v>101</v>
      </c>
      <c r="M404" s="72"/>
      <c r="N404" s="73">
        <f t="shared" si="38"/>
        <v>0</v>
      </c>
      <c r="O404" s="73">
        <f t="shared" si="39"/>
        <v>0</v>
      </c>
      <c r="P404" s="74">
        <f>IF(L404="nio",0,IF(L404&gt;0,VLOOKUP(H404,'3-Productie normen'!A:J,VLOOKUP(L404,'3-Productie normen'!$B$33:$C$38,2,FALSE),FALSE)))/VLOOKUP(B404,'2-Kosten per locatie'!$A$12:$C$23,3,FALSE)</f>
        <v>0</v>
      </c>
      <c r="Q404" s="74">
        <f t="shared" si="40"/>
        <v>0</v>
      </c>
      <c r="R404" s="75">
        <f>VLOOKUP(H404,'3-Productie normen'!A:L,12,FALSE)</f>
        <v>0</v>
      </c>
      <c r="S404" s="75"/>
      <c r="U404" s="41">
        <f t="shared" si="41"/>
        <v>0</v>
      </c>
    </row>
    <row r="405" spans="1:21" ht="14.1" customHeight="1">
      <c r="A405" s="54">
        <f t="shared" si="36"/>
        <v>405</v>
      </c>
      <c r="B405" s="70" t="s">
        <v>423</v>
      </c>
      <c r="C405" s="70"/>
      <c r="D405" s="416" t="s">
        <v>424</v>
      </c>
      <c r="E405" s="416" t="s">
        <v>89</v>
      </c>
      <c r="F405" s="71" t="s">
        <v>313</v>
      </c>
      <c r="G405" s="40" t="s">
        <v>450</v>
      </c>
      <c r="H405" s="40" t="s">
        <v>101</v>
      </c>
      <c r="I405" s="40" t="s">
        <v>451</v>
      </c>
      <c r="J405" s="460">
        <v>0</v>
      </c>
      <c r="K405" s="371">
        <f t="shared" si="37"/>
        <v>0</v>
      </c>
      <c r="L405" s="72" t="s">
        <v>101</v>
      </c>
      <c r="M405" s="72"/>
      <c r="N405" s="73">
        <f t="shared" si="38"/>
        <v>0</v>
      </c>
      <c r="O405" s="73">
        <f t="shared" si="39"/>
        <v>0</v>
      </c>
      <c r="P405" s="74">
        <f>IF(L405="nio",0,IF(L405&gt;0,VLOOKUP(H405,'3-Productie normen'!A:J,VLOOKUP(L405,'3-Productie normen'!$B$33:$C$38,2,FALSE),FALSE)))/VLOOKUP(B405,'2-Kosten per locatie'!$A$12:$C$23,3,FALSE)</f>
        <v>0</v>
      </c>
      <c r="Q405" s="74">
        <f t="shared" si="40"/>
        <v>0</v>
      </c>
      <c r="R405" s="75">
        <f>VLOOKUP(H405,'3-Productie normen'!A:L,12,FALSE)</f>
        <v>0</v>
      </c>
      <c r="S405" s="75"/>
      <c r="U405" s="41">
        <f t="shared" si="41"/>
        <v>0</v>
      </c>
    </row>
    <row r="406" spans="1:21" ht="14.1" customHeight="1">
      <c r="A406" s="54">
        <f t="shared" si="36"/>
        <v>406</v>
      </c>
      <c r="B406" s="70" t="s">
        <v>423</v>
      </c>
      <c r="C406" s="70"/>
      <c r="D406" s="416" t="s">
        <v>424</v>
      </c>
      <c r="E406" s="416" t="s">
        <v>89</v>
      </c>
      <c r="F406" s="71" t="s">
        <v>314</v>
      </c>
      <c r="G406" s="40" t="s">
        <v>434</v>
      </c>
      <c r="H406" s="40" t="s">
        <v>101</v>
      </c>
      <c r="I406" s="40" t="s">
        <v>426</v>
      </c>
      <c r="J406" s="460">
        <v>16</v>
      </c>
      <c r="K406" s="371">
        <f t="shared" si="37"/>
        <v>0</v>
      </c>
      <c r="L406" s="72" t="s">
        <v>101</v>
      </c>
      <c r="M406" s="72"/>
      <c r="N406" s="73">
        <f t="shared" si="38"/>
        <v>0</v>
      </c>
      <c r="O406" s="73">
        <f t="shared" si="39"/>
        <v>0</v>
      </c>
      <c r="P406" s="74">
        <f>IF(L406="nio",0,IF(L406&gt;0,VLOOKUP(H406,'3-Productie normen'!A:J,VLOOKUP(L406,'3-Productie normen'!$B$33:$C$38,2,FALSE),FALSE)))/VLOOKUP(B406,'2-Kosten per locatie'!$A$12:$C$23,3,FALSE)</f>
        <v>0</v>
      </c>
      <c r="Q406" s="74">
        <f t="shared" si="40"/>
        <v>0</v>
      </c>
      <c r="R406" s="75">
        <f>VLOOKUP(H406,'3-Productie normen'!A:L,12,FALSE)</f>
        <v>0</v>
      </c>
      <c r="S406" s="75"/>
      <c r="U406" s="41">
        <f t="shared" si="41"/>
        <v>0</v>
      </c>
    </row>
    <row r="407" spans="1:21" ht="14.1" customHeight="1">
      <c r="A407" s="54">
        <f t="shared" si="36"/>
        <v>407</v>
      </c>
      <c r="B407" s="70" t="s">
        <v>423</v>
      </c>
      <c r="C407" s="70"/>
      <c r="D407" s="416" t="s">
        <v>424</v>
      </c>
      <c r="E407" s="416" t="s">
        <v>89</v>
      </c>
      <c r="F407" s="71" t="s">
        <v>315</v>
      </c>
      <c r="G407" s="40" t="s">
        <v>261</v>
      </c>
      <c r="H407" s="40" t="s">
        <v>101</v>
      </c>
      <c r="I407" s="40" t="s">
        <v>426</v>
      </c>
      <c r="J407" s="460">
        <v>15</v>
      </c>
      <c r="K407" s="371">
        <f t="shared" si="37"/>
        <v>0</v>
      </c>
      <c r="L407" s="72" t="s">
        <v>101</v>
      </c>
      <c r="M407" s="72"/>
      <c r="N407" s="73">
        <f t="shared" si="38"/>
        <v>0</v>
      </c>
      <c r="O407" s="73">
        <f t="shared" si="39"/>
        <v>0</v>
      </c>
      <c r="P407" s="74">
        <f>IF(L407="nio",0,IF(L407&gt;0,VLOOKUP(H407,'3-Productie normen'!A:J,VLOOKUP(L407,'3-Productie normen'!$B$33:$C$38,2,FALSE),FALSE)))/VLOOKUP(B407,'2-Kosten per locatie'!$A$12:$C$23,3,FALSE)</f>
        <v>0</v>
      </c>
      <c r="Q407" s="74">
        <f t="shared" si="40"/>
        <v>0</v>
      </c>
      <c r="R407" s="75">
        <f>VLOOKUP(H407,'3-Productie normen'!A:L,12,FALSE)</f>
        <v>0</v>
      </c>
      <c r="S407" s="75"/>
      <c r="U407" s="41">
        <f t="shared" si="41"/>
        <v>0</v>
      </c>
    </row>
    <row r="408" spans="1:21" ht="14.1" customHeight="1">
      <c r="A408" s="54">
        <f t="shared" si="36"/>
        <v>408</v>
      </c>
      <c r="B408" s="70" t="s">
        <v>423</v>
      </c>
      <c r="C408" s="70"/>
      <c r="D408" s="416" t="s">
        <v>424</v>
      </c>
      <c r="E408" s="416" t="s">
        <v>89</v>
      </c>
      <c r="F408" s="71" t="s">
        <v>316</v>
      </c>
      <c r="G408" s="40" t="s">
        <v>452</v>
      </c>
      <c r="H408" s="40" t="s">
        <v>101</v>
      </c>
      <c r="I408" s="40" t="s">
        <v>426</v>
      </c>
      <c r="J408" s="460">
        <v>11</v>
      </c>
      <c r="K408" s="371">
        <f t="shared" si="37"/>
        <v>0</v>
      </c>
      <c r="L408" s="72" t="s">
        <v>101</v>
      </c>
      <c r="M408" s="72"/>
      <c r="N408" s="73">
        <f t="shared" si="38"/>
        <v>0</v>
      </c>
      <c r="O408" s="73">
        <f t="shared" si="39"/>
        <v>0</v>
      </c>
      <c r="P408" s="74">
        <f>IF(L408="nio",0,IF(L408&gt;0,VLOOKUP(H408,'3-Productie normen'!A:J,VLOOKUP(L408,'3-Productie normen'!$B$33:$C$38,2,FALSE),FALSE)))/VLOOKUP(B408,'2-Kosten per locatie'!$A$12:$C$23,3,FALSE)</f>
        <v>0</v>
      </c>
      <c r="Q408" s="74">
        <f t="shared" si="40"/>
        <v>0</v>
      </c>
      <c r="R408" s="75">
        <f>VLOOKUP(H408,'3-Productie normen'!A:L,12,FALSE)</f>
        <v>0</v>
      </c>
      <c r="S408" s="75"/>
      <c r="U408" s="41">
        <f t="shared" si="41"/>
        <v>0</v>
      </c>
    </row>
    <row r="409" spans="1:21" ht="14.1" customHeight="1">
      <c r="A409" s="54">
        <f t="shared" si="36"/>
        <v>409</v>
      </c>
      <c r="B409" s="70" t="s">
        <v>423</v>
      </c>
      <c r="C409" s="70"/>
      <c r="D409" s="416" t="s">
        <v>424</v>
      </c>
      <c r="E409" s="416" t="s">
        <v>89</v>
      </c>
      <c r="F409" s="71" t="s">
        <v>317</v>
      </c>
      <c r="G409" s="40" t="s">
        <v>453</v>
      </c>
      <c r="H409" s="40" t="s">
        <v>101</v>
      </c>
      <c r="I409" s="40" t="s">
        <v>426</v>
      </c>
      <c r="J409" s="460">
        <v>50</v>
      </c>
      <c r="K409" s="371">
        <f t="shared" si="37"/>
        <v>0</v>
      </c>
      <c r="L409" s="72" t="s">
        <v>101</v>
      </c>
      <c r="M409" s="72"/>
      <c r="N409" s="73">
        <f t="shared" si="38"/>
        <v>0</v>
      </c>
      <c r="O409" s="73">
        <f t="shared" si="39"/>
        <v>0</v>
      </c>
      <c r="P409" s="74">
        <f>IF(L409="nio",0,IF(L409&gt;0,VLOOKUP(H409,'3-Productie normen'!A:J,VLOOKUP(L409,'3-Productie normen'!$B$33:$C$38,2,FALSE),FALSE)))/VLOOKUP(B409,'2-Kosten per locatie'!$A$12:$C$23,3,FALSE)</f>
        <v>0</v>
      </c>
      <c r="Q409" s="74">
        <f t="shared" si="40"/>
        <v>0</v>
      </c>
      <c r="R409" s="75">
        <f>VLOOKUP(H409,'3-Productie normen'!A:L,12,FALSE)</f>
        <v>0</v>
      </c>
      <c r="S409" s="75"/>
      <c r="U409" s="41">
        <f t="shared" si="41"/>
        <v>0</v>
      </c>
    </row>
    <row r="410" spans="1:21" ht="14.1" customHeight="1">
      <c r="A410" s="54">
        <f t="shared" si="36"/>
        <v>410</v>
      </c>
      <c r="B410" s="70" t="s">
        <v>423</v>
      </c>
      <c r="C410" s="70"/>
      <c r="D410" s="416" t="s">
        <v>424</v>
      </c>
      <c r="E410" s="416" t="s">
        <v>89</v>
      </c>
      <c r="F410" s="71" t="s">
        <v>318</v>
      </c>
      <c r="G410" s="40" t="s">
        <v>454</v>
      </c>
      <c r="H410" s="40" t="s">
        <v>101</v>
      </c>
      <c r="I410" s="40" t="s">
        <v>444</v>
      </c>
      <c r="J410" s="460">
        <v>8</v>
      </c>
      <c r="K410" s="371">
        <f t="shared" si="37"/>
        <v>0</v>
      </c>
      <c r="L410" s="72" t="s">
        <v>101</v>
      </c>
      <c r="M410" s="72"/>
      <c r="N410" s="73">
        <f t="shared" si="38"/>
        <v>0</v>
      </c>
      <c r="O410" s="73">
        <f t="shared" si="39"/>
        <v>0</v>
      </c>
      <c r="P410" s="74">
        <f>IF(L410="nio",0,IF(L410&gt;0,VLOOKUP(H410,'3-Productie normen'!A:J,VLOOKUP(L410,'3-Productie normen'!$B$33:$C$38,2,FALSE),FALSE)))/VLOOKUP(B410,'2-Kosten per locatie'!$A$12:$C$23,3,FALSE)</f>
        <v>0</v>
      </c>
      <c r="Q410" s="74">
        <f t="shared" si="40"/>
        <v>0</v>
      </c>
      <c r="R410" s="75">
        <f>VLOOKUP(H410,'3-Productie normen'!A:L,12,FALSE)</f>
        <v>0</v>
      </c>
      <c r="S410" s="75"/>
      <c r="U410" s="41">
        <f t="shared" si="41"/>
        <v>0</v>
      </c>
    </row>
    <row r="411" spans="1:21" ht="14.1" customHeight="1">
      <c r="A411" s="54">
        <f t="shared" si="36"/>
        <v>411</v>
      </c>
      <c r="B411" s="70" t="s">
        <v>423</v>
      </c>
      <c r="C411" s="70"/>
      <c r="D411" s="416" t="s">
        <v>424</v>
      </c>
      <c r="E411" s="416" t="s">
        <v>89</v>
      </c>
      <c r="F411" s="71" t="s">
        <v>319</v>
      </c>
      <c r="G411" s="40" t="s">
        <v>453</v>
      </c>
      <c r="H411" s="40" t="s">
        <v>101</v>
      </c>
      <c r="I411" s="40" t="s">
        <v>426</v>
      </c>
      <c r="J411" s="460">
        <v>50</v>
      </c>
      <c r="K411" s="371">
        <f t="shared" si="37"/>
        <v>0</v>
      </c>
      <c r="L411" s="72" t="s">
        <v>101</v>
      </c>
      <c r="M411" s="72"/>
      <c r="N411" s="73">
        <f t="shared" si="38"/>
        <v>0</v>
      </c>
      <c r="O411" s="73">
        <f t="shared" si="39"/>
        <v>0</v>
      </c>
      <c r="P411" s="74">
        <f>IF(L411="nio",0,IF(L411&gt;0,VLOOKUP(H411,'3-Productie normen'!A:J,VLOOKUP(L411,'3-Productie normen'!$B$33:$C$38,2,FALSE),FALSE)))/VLOOKUP(B411,'2-Kosten per locatie'!$A$12:$C$23,3,FALSE)</f>
        <v>0</v>
      </c>
      <c r="Q411" s="74">
        <f t="shared" si="40"/>
        <v>0</v>
      </c>
      <c r="R411" s="75">
        <f>VLOOKUP(H411,'3-Productie normen'!A:L,12,FALSE)</f>
        <v>0</v>
      </c>
      <c r="S411" s="75"/>
      <c r="U411" s="41">
        <f t="shared" si="41"/>
        <v>0</v>
      </c>
    </row>
    <row r="412" spans="1:21" ht="14.1" customHeight="1">
      <c r="A412" s="54">
        <f t="shared" si="36"/>
        <v>412</v>
      </c>
      <c r="B412" s="70" t="s">
        <v>423</v>
      </c>
      <c r="C412" s="70"/>
      <c r="D412" s="416" t="s">
        <v>424</v>
      </c>
      <c r="E412" s="416" t="s">
        <v>89</v>
      </c>
      <c r="F412" s="71" t="s">
        <v>320</v>
      </c>
      <c r="G412" s="40" t="s">
        <v>452</v>
      </c>
      <c r="H412" s="40" t="s">
        <v>101</v>
      </c>
      <c r="I412" s="40" t="s">
        <v>426</v>
      </c>
      <c r="J412" s="460">
        <v>11</v>
      </c>
      <c r="K412" s="371">
        <f t="shared" si="37"/>
        <v>0</v>
      </c>
      <c r="L412" s="72" t="s">
        <v>101</v>
      </c>
      <c r="M412" s="72"/>
      <c r="N412" s="73">
        <f t="shared" si="38"/>
        <v>0</v>
      </c>
      <c r="O412" s="73">
        <f t="shared" si="39"/>
        <v>0</v>
      </c>
      <c r="P412" s="74">
        <f>IF(L412="nio",0,IF(L412&gt;0,VLOOKUP(H412,'3-Productie normen'!A:J,VLOOKUP(L412,'3-Productie normen'!$B$33:$C$38,2,FALSE),FALSE)))/VLOOKUP(B412,'2-Kosten per locatie'!$A$12:$C$23,3,FALSE)</f>
        <v>0</v>
      </c>
      <c r="Q412" s="74">
        <f t="shared" si="40"/>
        <v>0</v>
      </c>
      <c r="R412" s="75">
        <f>VLOOKUP(H412,'3-Productie normen'!A:L,12,FALSE)</f>
        <v>0</v>
      </c>
      <c r="S412" s="75"/>
      <c r="U412" s="41">
        <f t="shared" si="41"/>
        <v>0</v>
      </c>
    </row>
    <row r="413" spans="1:21" ht="14.1" customHeight="1">
      <c r="A413" s="54">
        <f t="shared" si="36"/>
        <v>413</v>
      </c>
      <c r="B413" s="70" t="s">
        <v>423</v>
      </c>
      <c r="C413" s="70"/>
      <c r="D413" s="416" t="s">
        <v>424</v>
      </c>
      <c r="E413" s="416" t="s">
        <v>89</v>
      </c>
      <c r="F413" s="71" t="s">
        <v>321</v>
      </c>
      <c r="G413" s="40" t="s">
        <v>455</v>
      </c>
      <c r="H413" s="40" t="s">
        <v>101</v>
      </c>
      <c r="I413" s="40" t="s">
        <v>426</v>
      </c>
      <c r="J413" s="460">
        <v>17</v>
      </c>
      <c r="K413" s="371">
        <f t="shared" si="37"/>
        <v>0</v>
      </c>
      <c r="L413" s="72" t="s">
        <v>101</v>
      </c>
      <c r="M413" s="72"/>
      <c r="N413" s="73">
        <f t="shared" si="38"/>
        <v>0</v>
      </c>
      <c r="O413" s="73">
        <f t="shared" si="39"/>
        <v>0</v>
      </c>
      <c r="P413" s="74">
        <f>IF(L413="nio",0,IF(L413&gt;0,VLOOKUP(H413,'3-Productie normen'!A:J,VLOOKUP(L413,'3-Productie normen'!$B$33:$C$38,2,FALSE),FALSE)))/VLOOKUP(B413,'2-Kosten per locatie'!$A$12:$C$23,3,FALSE)</f>
        <v>0</v>
      </c>
      <c r="Q413" s="74">
        <f t="shared" si="40"/>
        <v>0</v>
      </c>
      <c r="R413" s="75">
        <f>VLOOKUP(H413,'3-Productie normen'!A:L,12,FALSE)</f>
        <v>0</v>
      </c>
      <c r="S413" s="75"/>
      <c r="U413" s="41">
        <f t="shared" si="41"/>
        <v>0</v>
      </c>
    </row>
    <row r="414" spans="1:21" ht="14.1" customHeight="1">
      <c r="A414" s="54">
        <f t="shared" si="36"/>
        <v>414</v>
      </c>
      <c r="B414" s="70" t="s">
        <v>423</v>
      </c>
      <c r="C414" s="70"/>
      <c r="D414" s="416" t="s">
        <v>424</v>
      </c>
      <c r="E414" s="416" t="s">
        <v>89</v>
      </c>
      <c r="F414" s="71" t="s">
        <v>322</v>
      </c>
      <c r="G414" s="40" t="s">
        <v>440</v>
      </c>
      <c r="H414" s="40" t="s">
        <v>101</v>
      </c>
      <c r="I414" s="40" t="s">
        <v>426</v>
      </c>
      <c r="J414" s="460">
        <v>50.5</v>
      </c>
      <c r="K414" s="371">
        <f t="shared" si="37"/>
        <v>0</v>
      </c>
      <c r="L414" s="72" t="s">
        <v>101</v>
      </c>
      <c r="M414" s="72"/>
      <c r="N414" s="73">
        <f t="shared" si="38"/>
        <v>0</v>
      </c>
      <c r="O414" s="73">
        <f t="shared" si="39"/>
        <v>0</v>
      </c>
      <c r="P414" s="74">
        <f>IF(L414="nio",0,IF(L414&gt;0,VLOOKUP(H414,'3-Productie normen'!A:J,VLOOKUP(L414,'3-Productie normen'!$B$33:$C$38,2,FALSE),FALSE)))/VLOOKUP(B414,'2-Kosten per locatie'!$A$12:$C$23,3,FALSE)</f>
        <v>0</v>
      </c>
      <c r="Q414" s="74">
        <f t="shared" si="40"/>
        <v>0</v>
      </c>
      <c r="R414" s="75">
        <f>VLOOKUP(H414,'3-Productie normen'!A:L,12,FALSE)</f>
        <v>0</v>
      </c>
      <c r="S414" s="75"/>
      <c r="U414" s="41">
        <f t="shared" si="41"/>
        <v>0</v>
      </c>
    </row>
    <row r="415" spans="1:21" ht="14.1" customHeight="1">
      <c r="A415" s="54">
        <f t="shared" si="36"/>
        <v>415</v>
      </c>
      <c r="B415" s="70" t="s">
        <v>423</v>
      </c>
      <c r="C415" s="70"/>
      <c r="D415" s="416" t="s">
        <v>424</v>
      </c>
      <c r="E415" s="416" t="s">
        <v>89</v>
      </c>
      <c r="F415" s="71" t="s">
        <v>218</v>
      </c>
      <c r="G415" s="40" t="s">
        <v>218</v>
      </c>
      <c r="H415" s="40" t="s">
        <v>238</v>
      </c>
      <c r="I415" s="40" t="s">
        <v>456</v>
      </c>
      <c r="J415" s="460">
        <v>2</v>
      </c>
      <c r="K415" s="371">
        <f t="shared" si="37"/>
        <v>200</v>
      </c>
      <c r="L415" s="72">
        <v>200</v>
      </c>
      <c r="M415" s="72"/>
      <c r="N415" s="73" t="e">
        <f t="shared" si="38"/>
        <v>#DIV/0!</v>
      </c>
      <c r="O415" s="73">
        <f t="shared" si="39"/>
        <v>0</v>
      </c>
      <c r="P415" s="74">
        <f>IF(L415="nio",0,IF(L415&gt;0,VLOOKUP(H415,'3-Productie normen'!A:J,VLOOKUP(L415,'3-Productie normen'!$B$33:$C$38,2,FALSE),FALSE)))/VLOOKUP(B415,'2-Kosten per locatie'!$A$12:$C$23,3,FALSE)</f>
        <v>0</v>
      </c>
      <c r="Q415" s="74">
        <f t="shared" si="40"/>
        <v>0</v>
      </c>
      <c r="R415" s="75" t="str">
        <f>VLOOKUP(H415,'3-Productie normen'!A:L,12,FALSE)</f>
        <v>V</v>
      </c>
      <c r="S415" s="75"/>
      <c r="U415" s="41">
        <f t="shared" si="41"/>
        <v>400</v>
      </c>
    </row>
    <row r="416" spans="1:21" ht="14.1" customHeight="1">
      <c r="A416" s="54">
        <f t="shared" si="36"/>
        <v>416</v>
      </c>
      <c r="B416" s="70" t="s">
        <v>423</v>
      </c>
      <c r="C416" s="70"/>
      <c r="D416" s="416" t="s">
        <v>424</v>
      </c>
      <c r="E416" s="416" t="s">
        <v>239</v>
      </c>
      <c r="F416" s="71" t="s">
        <v>269</v>
      </c>
      <c r="G416" s="40" t="s">
        <v>457</v>
      </c>
      <c r="H416" s="40" t="s">
        <v>232</v>
      </c>
      <c r="I416" s="40" t="s">
        <v>426</v>
      </c>
      <c r="J416" s="460">
        <v>12.5</v>
      </c>
      <c r="K416" s="371">
        <f t="shared" si="37"/>
        <v>200</v>
      </c>
      <c r="L416" s="72">
        <v>200</v>
      </c>
      <c r="M416" s="72"/>
      <c r="N416" s="73" t="e">
        <f t="shared" si="38"/>
        <v>#DIV/0!</v>
      </c>
      <c r="O416" s="73">
        <f t="shared" si="39"/>
        <v>0</v>
      </c>
      <c r="P416" s="74">
        <f>IF(L416="nio",0,IF(L416&gt;0,VLOOKUP(H416,'3-Productie normen'!A:J,VLOOKUP(L416,'3-Productie normen'!$B$33:$C$38,2,FALSE),FALSE)))/VLOOKUP(B416,'2-Kosten per locatie'!$A$12:$C$23,3,FALSE)</f>
        <v>0</v>
      </c>
      <c r="Q416" s="74">
        <f t="shared" si="40"/>
        <v>0</v>
      </c>
      <c r="R416" s="75" t="str">
        <f>VLOOKUP(H416,'3-Productie normen'!A:L,12,FALSE)</f>
        <v>V</v>
      </c>
      <c r="S416" s="75"/>
      <c r="U416" s="41">
        <f t="shared" si="41"/>
        <v>2500</v>
      </c>
    </row>
    <row r="417" spans="1:21" ht="14.1" customHeight="1">
      <c r="A417" s="54">
        <f t="shared" si="36"/>
        <v>417</v>
      </c>
      <c r="B417" s="70" t="s">
        <v>423</v>
      </c>
      <c r="C417" s="70"/>
      <c r="D417" s="416" t="s">
        <v>424</v>
      </c>
      <c r="E417" s="416" t="s">
        <v>239</v>
      </c>
      <c r="F417" s="71" t="s">
        <v>270</v>
      </c>
      <c r="G417" s="40" t="s">
        <v>458</v>
      </c>
      <c r="H417" s="40" t="s">
        <v>1</v>
      </c>
      <c r="I417" s="40" t="s">
        <v>426</v>
      </c>
      <c r="J417" s="460">
        <v>23.5</v>
      </c>
      <c r="K417" s="371">
        <f t="shared" si="37"/>
        <v>200</v>
      </c>
      <c r="L417" s="72">
        <v>200</v>
      </c>
      <c r="M417" s="72"/>
      <c r="N417" s="73" t="e">
        <f t="shared" si="38"/>
        <v>#DIV/0!</v>
      </c>
      <c r="O417" s="73">
        <f t="shared" si="39"/>
        <v>0</v>
      </c>
      <c r="P417" s="74">
        <f>IF(L417="nio",0,IF(L417&gt;0,VLOOKUP(H417,'3-Productie normen'!A:J,VLOOKUP(L417,'3-Productie normen'!$B$33:$C$38,2,FALSE),FALSE)))/VLOOKUP(B417,'2-Kosten per locatie'!$A$12:$C$23,3,FALSE)</f>
        <v>0</v>
      </c>
      <c r="Q417" s="74">
        <f t="shared" si="40"/>
        <v>0</v>
      </c>
      <c r="R417" s="75" t="str">
        <f>VLOOKUP(H417,'3-Productie normen'!A:L,12,FALSE)</f>
        <v>V</v>
      </c>
      <c r="S417" s="75"/>
      <c r="U417" s="41">
        <f t="shared" si="41"/>
        <v>4700</v>
      </c>
    </row>
    <row r="418" spans="1:21" ht="14.1" customHeight="1">
      <c r="A418" s="54">
        <f t="shared" si="36"/>
        <v>418</v>
      </c>
      <c r="B418" s="70" t="s">
        <v>423</v>
      </c>
      <c r="C418" s="70"/>
      <c r="D418" s="416" t="s">
        <v>424</v>
      </c>
      <c r="E418" s="416" t="s">
        <v>239</v>
      </c>
      <c r="F418" s="71" t="s">
        <v>272</v>
      </c>
      <c r="G418" s="40" t="s">
        <v>459</v>
      </c>
      <c r="H418" s="40" t="s">
        <v>235</v>
      </c>
      <c r="I418" s="40" t="s">
        <v>426</v>
      </c>
      <c r="J418" s="460">
        <v>10.5</v>
      </c>
      <c r="K418" s="371">
        <f t="shared" si="37"/>
        <v>200</v>
      </c>
      <c r="L418" s="72">
        <v>200</v>
      </c>
      <c r="M418" s="72"/>
      <c r="N418" s="73" t="e">
        <f t="shared" si="38"/>
        <v>#DIV/0!</v>
      </c>
      <c r="O418" s="73">
        <f t="shared" si="39"/>
        <v>0</v>
      </c>
      <c r="P418" s="74">
        <f>IF(L418="nio",0,IF(L418&gt;0,VLOOKUP(H418,'3-Productie normen'!A:J,VLOOKUP(L418,'3-Productie normen'!$B$33:$C$38,2,FALSE),FALSE)))/VLOOKUP(B418,'2-Kosten per locatie'!$A$12:$C$23,3,FALSE)</f>
        <v>0</v>
      </c>
      <c r="Q418" s="74">
        <f t="shared" si="40"/>
        <v>0</v>
      </c>
      <c r="R418" s="75" t="str">
        <f>VLOOKUP(H418,'3-Productie normen'!A:L,12,FALSE)</f>
        <v>S</v>
      </c>
      <c r="S418" s="75"/>
      <c r="U418" s="41">
        <f t="shared" si="41"/>
        <v>2100</v>
      </c>
    </row>
    <row r="419" spans="1:21" ht="14.1" customHeight="1">
      <c r="A419" s="54">
        <f t="shared" si="36"/>
        <v>419</v>
      </c>
      <c r="B419" s="70" t="s">
        <v>423</v>
      </c>
      <c r="C419" s="70"/>
      <c r="D419" s="416" t="s">
        <v>424</v>
      </c>
      <c r="E419" s="416" t="s">
        <v>239</v>
      </c>
      <c r="F419" s="71" t="s">
        <v>273</v>
      </c>
      <c r="G419" s="40" t="s">
        <v>460</v>
      </c>
      <c r="H419" s="40" t="s">
        <v>17</v>
      </c>
      <c r="I419" s="40" t="s">
        <v>444</v>
      </c>
      <c r="J419" s="460">
        <v>1.5</v>
      </c>
      <c r="K419" s="371">
        <f t="shared" si="37"/>
        <v>200</v>
      </c>
      <c r="L419" s="72">
        <v>200</v>
      </c>
      <c r="M419" s="72"/>
      <c r="N419" s="73" t="e">
        <f t="shared" si="38"/>
        <v>#DIV/0!</v>
      </c>
      <c r="O419" s="73">
        <f t="shared" si="39"/>
        <v>0</v>
      </c>
      <c r="P419" s="74">
        <f>IF(L419="nio",0,IF(L419&gt;0,VLOOKUP(H419,'3-Productie normen'!A:J,VLOOKUP(L419,'3-Productie normen'!$B$33:$C$38,2,FALSE),FALSE)))/VLOOKUP(B419,'2-Kosten per locatie'!$A$12:$C$23,3,FALSE)</f>
        <v>0</v>
      </c>
      <c r="Q419" s="74">
        <f t="shared" si="40"/>
        <v>0</v>
      </c>
      <c r="R419" s="75" t="str">
        <f>VLOOKUP(H419,'3-Productie normen'!A:L,12,FALSE)</f>
        <v>S</v>
      </c>
      <c r="S419" s="75"/>
      <c r="U419" s="41">
        <f t="shared" si="41"/>
        <v>300</v>
      </c>
    </row>
    <row r="420" spans="1:21" ht="14.1" customHeight="1">
      <c r="A420" s="54">
        <f t="shared" si="36"/>
        <v>420</v>
      </c>
      <c r="B420" s="70" t="s">
        <v>423</v>
      </c>
      <c r="C420" s="70"/>
      <c r="D420" s="416" t="s">
        <v>424</v>
      </c>
      <c r="E420" s="416" t="s">
        <v>239</v>
      </c>
      <c r="F420" s="71" t="s">
        <v>274</v>
      </c>
      <c r="G420" s="40" t="s">
        <v>255</v>
      </c>
      <c r="H420" s="40" t="s">
        <v>226</v>
      </c>
      <c r="I420" s="40" t="s">
        <v>426</v>
      </c>
      <c r="J420" s="460">
        <v>12</v>
      </c>
      <c r="K420" s="371">
        <f t="shared" si="37"/>
        <v>200</v>
      </c>
      <c r="L420" s="72">
        <v>200</v>
      </c>
      <c r="M420" s="72"/>
      <c r="N420" s="73" t="e">
        <f t="shared" si="38"/>
        <v>#DIV/0!</v>
      </c>
      <c r="O420" s="73">
        <f t="shared" si="39"/>
        <v>0</v>
      </c>
      <c r="P420" s="74">
        <f>IF(L420="nio",0,IF(L420&gt;0,VLOOKUP(H420,'3-Productie normen'!A:J,VLOOKUP(L420,'3-Productie normen'!$B$33:$C$38,2,FALSE),FALSE)))/VLOOKUP(B420,'2-Kosten per locatie'!$A$12:$C$23,3,FALSE)</f>
        <v>0</v>
      </c>
      <c r="Q420" s="74">
        <f t="shared" si="40"/>
        <v>0</v>
      </c>
      <c r="R420" s="75" t="str">
        <f>VLOOKUP(H420,'3-Productie normen'!A:L,12,FALSE)</f>
        <v>V</v>
      </c>
      <c r="S420" s="75"/>
      <c r="U420" s="41">
        <f t="shared" si="41"/>
        <v>2400</v>
      </c>
    </row>
    <row r="421" spans="1:21" ht="14.1" customHeight="1">
      <c r="A421" s="54">
        <f t="shared" si="36"/>
        <v>421</v>
      </c>
      <c r="B421" s="70" t="s">
        <v>423</v>
      </c>
      <c r="C421" s="70"/>
      <c r="D421" s="416" t="s">
        <v>424</v>
      </c>
      <c r="E421" s="416" t="s">
        <v>239</v>
      </c>
      <c r="F421" s="71" t="s">
        <v>275</v>
      </c>
      <c r="G421" s="40" t="s">
        <v>458</v>
      </c>
      <c r="H421" s="40" t="s">
        <v>1</v>
      </c>
      <c r="I421" s="40" t="s">
        <v>426</v>
      </c>
      <c r="J421" s="460">
        <v>23.5</v>
      </c>
      <c r="K421" s="371">
        <f t="shared" si="37"/>
        <v>200</v>
      </c>
      <c r="L421" s="72">
        <v>200</v>
      </c>
      <c r="M421" s="72"/>
      <c r="N421" s="73" t="e">
        <f t="shared" si="38"/>
        <v>#DIV/0!</v>
      </c>
      <c r="O421" s="73">
        <f t="shared" si="39"/>
        <v>0</v>
      </c>
      <c r="P421" s="74">
        <f>IF(L421="nio",0,IF(L421&gt;0,VLOOKUP(H421,'3-Productie normen'!A:J,VLOOKUP(L421,'3-Productie normen'!$B$33:$C$38,2,FALSE),FALSE)))/VLOOKUP(B421,'2-Kosten per locatie'!$A$12:$C$23,3,FALSE)</f>
        <v>0</v>
      </c>
      <c r="Q421" s="74">
        <f t="shared" si="40"/>
        <v>0</v>
      </c>
      <c r="R421" s="75" t="str">
        <f>VLOOKUP(H421,'3-Productie normen'!A:L,12,FALSE)</f>
        <v>V</v>
      </c>
      <c r="S421" s="75"/>
      <c r="U421" s="41">
        <f t="shared" si="41"/>
        <v>4700</v>
      </c>
    </row>
    <row r="422" spans="1:21" ht="14.1" customHeight="1">
      <c r="A422" s="54">
        <f t="shared" si="36"/>
        <v>422</v>
      </c>
      <c r="B422" s="70" t="s">
        <v>423</v>
      </c>
      <c r="C422" s="70"/>
      <c r="D422" s="416" t="s">
        <v>424</v>
      </c>
      <c r="E422" s="416" t="s">
        <v>239</v>
      </c>
      <c r="F422" s="71" t="s">
        <v>276</v>
      </c>
      <c r="G422" s="40" t="s">
        <v>459</v>
      </c>
      <c r="H422" s="40" t="s">
        <v>235</v>
      </c>
      <c r="I422" s="40" t="s">
        <v>426</v>
      </c>
      <c r="J422" s="460">
        <v>10.5</v>
      </c>
      <c r="K422" s="371">
        <f t="shared" si="37"/>
        <v>200</v>
      </c>
      <c r="L422" s="72">
        <v>200</v>
      </c>
      <c r="M422" s="72"/>
      <c r="N422" s="73" t="e">
        <f t="shared" si="38"/>
        <v>#DIV/0!</v>
      </c>
      <c r="O422" s="73">
        <f t="shared" si="39"/>
        <v>0</v>
      </c>
      <c r="P422" s="74">
        <f>IF(L422="nio",0,IF(L422&gt;0,VLOOKUP(H422,'3-Productie normen'!A:J,VLOOKUP(L422,'3-Productie normen'!$B$33:$C$38,2,FALSE),FALSE)))/VLOOKUP(B422,'2-Kosten per locatie'!$A$12:$C$23,3,FALSE)</f>
        <v>0</v>
      </c>
      <c r="Q422" s="74">
        <f t="shared" si="40"/>
        <v>0</v>
      </c>
      <c r="R422" s="75" t="str">
        <f>VLOOKUP(H422,'3-Productie normen'!A:L,12,FALSE)</f>
        <v>S</v>
      </c>
      <c r="S422" s="75"/>
      <c r="U422" s="41">
        <f t="shared" si="41"/>
        <v>2100</v>
      </c>
    </row>
    <row r="423" spans="1:21" ht="14.1" customHeight="1">
      <c r="A423" s="54">
        <f t="shared" si="36"/>
        <v>423</v>
      </c>
      <c r="B423" s="70" t="s">
        <v>423</v>
      </c>
      <c r="C423" s="70"/>
      <c r="D423" s="416" t="s">
        <v>424</v>
      </c>
      <c r="E423" s="416" t="s">
        <v>241</v>
      </c>
      <c r="F423" s="71" t="s">
        <v>461</v>
      </c>
      <c r="G423" s="40" t="s">
        <v>447</v>
      </c>
      <c r="H423" s="40" t="s">
        <v>240</v>
      </c>
      <c r="I423" s="40" t="s">
        <v>435</v>
      </c>
      <c r="J423" s="460">
        <v>58</v>
      </c>
      <c r="K423" s="371">
        <f t="shared" si="37"/>
        <v>200</v>
      </c>
      <c r="L423" s="72">
        <v>200</v>
      </c>
      <c r="M423" s="72"/>
      <c r="N423" s="73" t="e">
        <f t="shared" si="38"/>
        <v>#DIV/0!</v>
      </c>
      <c r="O423" s="73">
        <f t="shared" si="39"/>
        <v>0</v>
      </c>
      <c r="P423" s="74">
        <f>IF(L423="nio",0,IF(L423&gt;0,VLOOKUP(H423,'3-Productie normen'!A:J,VLOOKUP(L423,'3-Productie normen'!$B$33:$C$38,2,FALSE),FALSE)))/VLOOKUP(B423,'2-Kosten per locatie'!$A$12:$C$23,3,FALSE)</f>
        <v>0</v>
      </c>
      <c r="Q423" s="74">
        <f t="shared" si="40"/>
        <v>0</v>
      </c>
      <c r="R423" s="75" t="str">
        <f>VLOOKUP(H423,'3-Productie normen'!A:L,12,FALSE)</f>
        <v>V</v>
      </c>
      <c r="S423" s="75"/>
      <c r="U423" s="41">
        <f t="shared" si="41"/>
        <v>11600</v>
      </c>
    </row>
    <row r="424" spans="1:21" ht="14.1" customHeight="1">
      <c r="A424" s="54">
        <f t="shared" si="36"/>
        <v>424</v>
      </c>
      <c r="B424" s="70" t="s">
        <v>423</v>
      </c>
      <c r="C424" s="70"/>
      <c r="D424" s="416" t="s">
        <v>424</v>
      </c>
      <c r="E424" s="416" t="s">
        <v>241</v>
      </c>
      <c r="F424" s="71" t="s">
        <v>462</v>
      </c>
      <c r="G424" s="40" t="s">
        <v>447</v>
      </c>
      <c r="H424" s="40" t="s">
        <v>240</v>
      </c>
      <c r="I424" s="40" t="s">
        <v>435</v>
      </c>
      <c r="J424" s="460">
        <v>58</v>
      </c>
      <c r="K424" s="371">
        <f t="shared" si="37"/>
        <v>200</v>
      </c>
      <c r="L424" s="72">
        <v>200</v>
      </c>
      <c r="M424" s="72"/>
      <c r="N424" s="73" t="e">
        <f t="shared" si="38"/>
        <v>#DIV/0!</v>
      </c>
      <c r="O424" s="73">
        <f t="shared" si="39"/>
        <v>0</v>
      </c>
      <c r="P424" s="74">
        <f>IF(L424="nio",0,IF(L424&gt;0,VLOOKUP(H424,'3-Productie normen'!A:J,VLOOKUP(L424,'3-Productie normen'!$B$33:$C$38,2,FALSE),FALSE)))/VLOOKUP(B424,'2-Kosten per locatie'!$A$12:$C$23,3,FALSE)</f>
        <v>0</v>
      </c>
      <c r="Q424" s="74">
        <f t="shared" si="40"/>
        <v>0</v>
      </c>
      <c r="R424" s="75" t="str">
        <f>VLOOKUP(H424,'3-Productie normen'!A:L,12,FALSE)</f>
        <v>V</v>
      </c>
      <c r="S424" s="75"/>
      <c r="U424" s="41">
        <f t="shared" si="41"/>
        <v>11600</v>
      </c>
    </row>
    <row r="425" spans="1:21" ht="14.1" customHeight="1">
      <c r="A425" s="54">
        <f t="shared" si="36"/>
        <v>425</v>
      </c>
      <c r="B425" s="70" t="s">
        <v>423</v>
      </c>
      <c r="C425" s="70"/>
      <c r="D425" s="416" t="s">
        <v>424</v>
      </c>
      <c r="E425" s="416" t="s">
        <v>241</v>
      </c>
      <c r="F425" s="71" t="s">
        <v>463</v>
      </c>
      <c r="G425" s="40" t="s">
        <v>447</v>
      </c>
      <c r="H425" s="40" t="s">
        <v>240</v>
      </c>
      <c r="I425" s="40" t="s">
        <v>435</v>
      </c>
      <c r="J425" s="460">
        <v>58</v>
      </c>
      <c r="K425" s="371">
        <f t="shared" si="37"/>
        <v>200</v>
      </c>
      <c r="L425" s="72">
        <v>200</v>
      </c>
      <c r="M425" s="72"/>
      <c r="N425" s="73" t="e">
        <f t="shared" si="38"/>
        <v>#DIV/0!</v>
      </c>
      <c r="O425" s="73">
        <f t="shared" si="39"/>
        <v>0</v>
      </c>
      <c r="P425" s="74">
        <f>IF(L425="nio",0,IF(L425&gt;0,VLOOKUP(H425,'3-Productie normen'!A:J,VLOOKUP(L425,'3-Productie normen'!$B$33:$C$38,2,FALSE),FALSE)))/VLOOKUP(B425,'2-Kosten per locatie'!$A$12:$C$23,3,FALSE)</f>
        <v>0</v>
      </c>
      <c r="Q425" s="74">
        <f t="shared" si="40"/>
        <v>0</v>
      </c>
      <c r="R425" s="75" t="str">
        <f>VLOOKUP(H425,'3-Productie normen'!A:L,12,FALSE)</f>
        <v>V</v>
      </c>
      <c r="S425" s="75"/>
      <c r="U425" s="41">
        <f t="shared" si="41"/>
        <v>11600</v>
      </c>
    </row>
    <row r="426" spans="1:21" ht="14.1" customHeight="1">
      <c r="A426" s="54">
        <f t="shared" si="36"/>
        <v>426</v>
      </c>
      <c r="B426" s="70" t="s">
        <v>423</v>
      </c>
      <c r="C426" s="70"/>
      <c r="D426" s="416" t="s">
        <v>424</v>
      </c>
      <c r="E426" s="416" t="s">
        <v>241</v>
      </c>
      <c r="F426" s="71" t="s">
        <v>464</v>
      </c>
      <c r="G426" s="40" t="s">
        <v>447</v>
      </c>
      <c r="H426" s="40" t="s">
        <v>240</v>
      </c>
      <c r="I426" s="40" t="s">
        <v>435</v>
      </c>
      <c r="J426" s="460">
        <v>58</v>
      </c>
      <c r="K426" s="371">
        <f t="shared" si="37"/>
        <v>200</v>
      </c>
      <c r="L426" s="72">
        <v>200</v>
      </c>
      <c r="M426" s="72"/>
      <c r="N426" s="73" t="e">
        <f t="shared" si="38"/>
        <v>#DIV/0!</v>
      </c>
      <c r="O426" s="73">
        <f t="shared" si="39"/>
        <v>0</v>
      </c>
      <c r="P426" s="74">
        <f>IF(L426="nio",0,IF(L426&gt;0,VLOOKUP(H426,'3-Productie normen'!A:J,VLOOKUP(L426,'3-Productie normen'!$B$33:$C$38,2,FALSE),FALSE)))/VLOOKUP(B426,'2-Kosten per locatie'!$A$12:$C$23,3,FALSE)</f>
        <v>0</v>
      </c>
      <c r="Q426" s="74">
        <f t="shared" si="40"/>
        <v>0</v>
      </c>
      <c r="R426" s="75" t="str">
        <f>VLOOKUP(H426,'3-Productie normen'!A:L,12,FALSE)</f>
        <v>V</v>
      </c>
      <c r="S426" s="75"/>
      <c r="U426" s="41">
        <f t="shared" si="41"/>
        <v>11600</v>
      </c>
    </row>
    <row r="427" spans="1:21" ht="14.1" customHeight="1">
      <c r="A427" s="54">
        <f t="shared" si="36"/>
        <v>427</v>
      </c>
      <c r="B427" s="70" t="s">
        <v>423</v>
      </c>
      <c r="C427" s="70"/>
      <c r="D427" s="416" t="s">
        <v>424</v>
      </c>
      <c r="E427" s="416" t="s">
        <v>241</v>
      </c>
      <c r="F427" s="71" t="s">
        <v>465</v>
      </c>
      <c r="G427" s="40" t="s">
        <v>268</v>
      </c>
      <c r="H427" s="40" t="s">
        <v>232</v>
      </c>
      <c r="I427" s="40" t="s">
        <v>426</v>
      </c>
      <c r="J427" s="460">
        <v>21.5</v>
      </c>
      <c r="K427" s="371">
        <f t="shared" si="37"/>
        <v>200</v>
      </c>
      <c r="L427" s="72">
        <v>200</v>
      </c>
      <c r="M427" s="72"/>
      <c r="N427" s="73" t="e">
        <f t="shared" si="38"/>
        <v>#DIV/0!</v>
      </c>
      <c r="O427" s="73">
        <f t="shared" si="39"/>
        <v>0</v>
      </c>
      <c r="P427" s="74">
        <f>IF(L427="nio",0,IF(L427&gt;0,VLOOKUP(H427,'3-Productie normen'!A:J,VLOOKUP(L427,'3-Productie normen'!$B$33:$C$38,2,FALSE),FALSE)))/VLOOKUP(B427,'2-Kosten per locatie'!$A$12:$C$23,3,FALSE)</f>
        <v>0</v>
      </c>
      <c r="Q427" s="74">
        <f t="shared" si="40"/>
        <v>0</v>
      </c>
      <c r="R427" s="75" t="str">
        <f>VLOOKUP(H427,'3-Productie normen'!A:L,12,FALSE)</f>
        <v>V</v>
      </c>
      <c r="S427" s="75"/>
      <c r="U427" s="41">
        <f t="shared" si="41"/>
        <v>4300</v>
      </c>
    </row>
    <row r="428" spans="1:21" ht="14.1" customHeight="1">
      <c r="A428" s="54">
        <f t="shared" si="36"/>
        <v>428</v>
      </c>
      <c r="B428" s="70" t="s">
        <v>423</v>
      </c>
      <c r="C428" s="70"/>
      <c r="D428" s="416" t="s">
        <v>424</v>
      </c>
      <c r="E428" s="416" t="s">
        <v>241</v>
      </c>
      <c r="F428" s="71" t="s">
        <v>466</v>
      </c>
      <c r="G428" s="40" t="s">
        <v>268</v>
      </c>
      <c r="H428" s="40" t="s">
        <v>232</v>
      </c>
      <c r="I428" s="40" t="s">
        <v>426</v>
      </c>
      <c r="J428" s="460">
        <v>30</v>
      </c>
      <c r="K428" s="371">
        <f t="shared" si="37"/>
        <v>200</v>
      </c>
      <c r="L428" s="72">
        <v>200</v>
      </c>
      <c r="M428" s="72"/>
      <c r="N428" s="73" t="e">
        <f t="shared" si="38"/>
        <v>#DIV/0!</v>
      </c>
      <c r="O428" s="73">
        <f t="shared" si="39"/>
        <v>0</v>
      </c>
      <c r="P428" s="74">
        <f>IF(L428="nio",0,IF(L428&gt;0,VLOOKUP(H428,'3-Productie normen'!A:J,VLOOKUP(L428,'3-Productie normen'!$B$33:$C$38,2,FALSE),FALSE)))/VLOOKUP(B428,'2-Kosten per locatie'!$A$12:$C$23,3,FALSE)</f>
        <v>0</v>
      </c>
      <c r="Q428" s="74">
        <f t="shared" si="40"/>
        <v>0</v>
      </c>
      <c r="R428" s="75" t="str">
        <f>VLOOKUP(H428,'3-Productie normen'!A:L,12,FALSE)</f>
        <v>V</v>
      </c>
      <c r="S428" s="75"/>
      <c r="U428" s="41">
        <f t="shared" si="41"/>
        <v>6000</v>
      </c>
    </row>
    <row r="429" spans="1:21" ht="14.1" customHeight="1">
      <c r="A429" s="54">
        <f t="shared" si="36"/>
        <v>429</v>
      </c>
      <c r="B429" s="70" t="s">
        <v>423</v>
      </c>
      <c r="C429" s="70"/>
      <c r="D429" s="416" t="s">
        <v>424</v>
      </c>
      <c r="E429" s="416" t="s">
        <v>241</v>
      </c>
      <c r="F429" s="71" t="s">
        <v>467</v>
      </c>
      <c r="G429" s="40" t="s">
        <v>451</v>
      </c>
      <c r="H429" s="40" t="s">
        <v>101</v>
      </c>
      <c r="I429" s="40" t="s">
        <v>451</v>
      </c>
      <c r="J429" s="460"/>
      <c r="K429" s="371">
        <f t="shared" si="37"/>
        <v>0</v>
      </c>
      <c r="L429" s="72" t="s">
        <v>101</v>
      </c>
      <c r="M429" s="72"/>
      <c r="N429" s="73">
        <f t="shared" si="38"/>
        <v>0</v>
      </c>
      <c r="O429" s="73">
        <f t="shared" si="39"/>
        <v>0</v>
      </c>
      <c r="P429" s="74">
        <f>IF(L429="nio",0,IF(L429&gt;0,VLOOKUP(H429,'3-Productie normen'!A:J,VLOOKUP(L429,'3-Productie normen'!$B$33:$C$38,2,FALSE),FALSE)))/VLOOKUP(B429,'2-Kosten per locatie'!$A$12:$C$23,3,FALSE)</f>
        <v>0</v>
      </c>
      <c r="Q429" s="74">
        <f t="shared" si="40"/>
        <v>0</v>
      </c>
      <c r="R429" s="75">
        <f>VLOOKUP(H429,'3-Productie normen'!A:L,12,FALSE)</f>
        <v>0</v>
      </c>
      <c r="S429" s="75"/>
      <c r="U429" s="41">
        <f t="shared" si="41"/>
        <v>0</v>
      </c>
    </row>
    <row r="430" spans="1:21" ht="14.1" customHeight="1">
      <c r="A430" s="54">
        <f t="shared" si="36"/>
        <v>430</v>
      </c>
      <c r="B430" s="70" t="s">
        <v>423</v>
      </c>
      <c r="C430" s="70"/>
      <c r="D430" s="416" t="s">
        <v>424</v>
      </c>
      <c r="E430" s="416" t="s">
        <v>241</v>
      </c>
      <c r="F430" s="71" t="s">
        <v>468</v>
      </c>
      <c r="G430" s="40" t="s">
        <v>268</v>
      </c>
      <c r="H430" s="40" t="s">
        <v>232</v>
      </c>
      <c r="I430" s="40" t="s">
        <v>426</v>
      </c>
      <c r="J430" s="460">
        <v>21</v>
      </c>
      <c r="K430" s="371">
        <f t="shared" si="37"/>
        <v>200</v>
      </c>
      <c r="L430" s="72">
        <v>200</v>
      </c>
      <c r="M430" s="72"/>
      <c r="N430" s="73" t="e">
        <f t="shared" si="38"/>
        <v>#DIV/0!</v>
      </c>
      <c r="O430" s="73">
        <f t="shared" si="39"/>
        <v>0</v>
      </c>
      <c r="P430" s="74">
        <f>IF(L430="nio",0,IF(L430&gt;0,VLOOKUP(H430,'3-Productie normen'!A:J,VLOOKUP(L430,'3-Productie normen'!$B$33:$C$38,2,FALSE),FALSE)))/VLOOKUP(B430,'2-Kosten per locatie'!$A$12:$C$23,3,FALSE)</f>
        <v>0</v>
      </c>
      <c r="Q430" s="74">
        <f t="shared" si="40"/>
        <v>0</v>
      </c>
      <c r="R430" s="75" t="str">
        <f>VLOOKUP(H430,'3-Productie normen'!A:L,12,FALSE)</f>
        <v>V</v>
      </c>
      <c r="S430" s="75"/>
      <c r="U430" s="41">
        <f t="shared" si="41"/>
        <v>4200</v>
      </c>
    </row>
    <row r="431" spans="1:21" ht="14.1" customHeight="1">
      <c r="A431" s="54">
        <f t="shared" si="36"/>
        <v>431</v>
      </c>
      <c r="B431" s="70" t="s">
        <v>423</v>
      </c>
      <c r="C431" s="70"/>
      <c r="D431" s="416" t="s">
        <v>424</v>
      </c>
      <c r="E431" s="416" t="s">
        <v>241</v>
      </c>
      <c r="F431" s="71" t="s">
        <v>469</v>
      </c>
      <c r="G431" s="40" t="s">
        <v>268</v>
      </c>
      <c r="H431" s="40" t="s">
        <v>232</v>
      </c>
      <c r="I431" s="40" t="s">
        <v>426</v>
      </c>
      <c r="J431" s="460">
        <v>57.5</v>
      </c>
      <c r="K431" s="371">
        <f t="shared" si="37"/>
        <v>200</v>
      </c>
      <c r="L431" s="72">
        <v>200</v>
      </c>
      <c r="M431" s="72"/>
      <c r="N431" s="73" t="e">
        <f t="shared" si="38"/>
        <v>#DIV/0!</v>
      </c>
      <c r="O431" s="73">
        <f t="shared" si="39"/>
        <v>0</v>
      </c>
      <c r="P431" s="74">
        <f>IF(L431="nio",0,IF(L431&gt;0,VLOOKUP(H431,'3-Productie normen'!A:J,VLOOKUP(L431,'3-Productie normen'!$B$33:$C$38,2,FALSE),FALSE)))/VLOOKUP(B431,'2-Kosten per locatie'!$A$12:$C$23,3,FALSE)</f>
        <v>0</v>
      </c>
      <c r="Q431" s="74">
        <f t="shared" si="40"/>
        <v>0</v>
      </c>
      <c r="R431" s="75" t="str">
        <f>VLOOKUP(H431,'3-Productie normen'!A:L,12,FALSE)</f>
        <v>V</v>
      </c>
      <c r="S431" s="75"/>
      <c r="U431" s="41">
        <f t="shared" si="41"/>
        <v>11500</v>
      </c>
    </row>
    <row r="432" spans="1:21" ht="14.1" customHeight="1">
      <c r="A432" s="54">
        <f t="shared" si="36"/>
        <v>432</v>
      </c>
      <c r="B432" s="70" t="s">
        <v>423</v>
      </c>
      <c r="C432" s="70"/>
      <c r="D432" s="416" t="s">
        <v>424</v>
      </c>
      <c r="E432" s="416" t="s">
        <v>241</v>
      </c>
      <c r="F432" s="71" t="s">
        <v>470</v>
      </c>
      <c r="G432" s="40" t="s">
        <v>217</v>
      </c>
      <c r="H432" s="40" t="s">
        <v>226</v>
      </c>
      <c r="I432" s="40" t="s">
        <v>426</v>
      </c>
      <c r="J432" s="460"/>
      <c r="K432" s="371">
        <f t="shared" si="37"/>
        <v>200</v>
      </c>
      <c r="L432" s="72">
        <v>200</v>
      </c>
      <c r="M432" s="72"/>
      <c r="N432" s="73" t="e">
        <f t="shared" si="38"/>
        <v>#DIV/0!</v>
      </c>
      <c r="O432" s="73">
        <f t="shared" si="39"/>
        <v>0</v>
      </c>
      <c r="P432" s="74">
        <f>IF(L432="nio",0,IF(L432&gt;0,VLOOKUP(H432,'3-Productie normen'!A:J,VLOOKUP(L432,'3-Productie normen'!$B$33:$C$38,2,FALSE),FALSE)))/VLOOKUP(B432,'2-Kosten per locatie'!$A$12:$C$23,3,FALSE)</f>
        <v>0</v>
      </c>
      <c r="Q432" s="74">
        <f t="shared" si="40"/>
        <v>0</v>
      </c>
      <c r="R432" s="75" t="str">
        <f>VLOOKUP(H432,'3-Productie normen'!A:L,12,FALSE)</f>
        <v>V</v>
      </c>
      <c r="S432" s="75"/>
      <c r="U432" s="41">
        <f t="shared" si="41"/>
        <v>0</v>
      </c>
    </row>
    <row r="433" spans="1:21" ht="14.1" customHeight="1">
      <c r="A433" s="54">
        <f t="shared" si="36"/>
        <v>433</v>
      </c>
      <c r="B433" s="70" t="s">
        <v>423</v>
      </c>
      <c r="C433" s="70"/>
      <c r="D433" s="416" t="s">
        <v>424</v>
      </c>
      <c r="E433" s="416" t="s">
        <v>241</v>
      </c>
      <c r="F433" s="71" t="s">
        <v>471</v>
      </c>
      <c r="G433" s="40" t="s">
        <v>434</v>
      </c>
      <c r="H433" s="40" t="s">
        <v>231</v>
      </c>
      <c r="I433" s="40" t="s">
        <v>435</v>
      </c>
      <c r="J433" s="460">
        <v>13</v>
      </c>
      <c r="K433" s="371">
        <f t="shared" si="37"/>
        <v>200</v>
      </c>
      <c r="L433" s="72">
        <v>200</v>
      </c>
      <c r="M433" s="72"/>
      <c r="N433" s="73" t="e">
        <f t="shared" si="38"/>
        <v>#DIV/0!</v>
      </c>
      <c r="O433" s="73">
        <f t="shared" si="39"/>
        <v>0</v>
      </c>
      <c r="P433" s="74">
        <f>IF(L433="nio",0,IF(L433&gt;0,VLOOKUP(H433,'3-Productie normen'!A:J,VLOOKUP(L433,'3-Productie normen'!$B$33:$C$38,2,FALSE),FALSE)))/VLOOKUP(B433,'2-Kosten per locatie'!$A$12:$C$23,3,FALSE)</f>
        <v>0</v>
      </c>
      <c r="Q433" s="74">
        <f t="shared" si="40"/>
        <v>0</v>
      </c>
      <c r="R433" s="75" t="str">
        <f>VLOOKUP(H433,'3-Productie normen'!A:L,12,FALSE)</f>
        <v>L</v>
      </c>
      <c r="S433" s="75"/>
      <c r="U433" s="41">
        <f t="shared" si="41"/>
        <v>2600</v>
      </c>
    </row>
    <row r="434" spans="1:21" ht="14.1" customHeight="1">
      <c r="A434" s="54">
        <f t="shared" si="36"/>
        <v>434</v>
      </c>
      <c r="B434" s="70" t="s">
        <v>423</v>
      </c>
      <c r="C434" s="70"/>
      <c r="D434" s="416" t="s">
        <v>424</v>
      </c>
      <c r="E434" s="416" t="s">
        <v>241</v>
      </c>
      <c r="F434" s="71" t="s">
        <v>472</v>
      </c>
      <c r="G434" s="40" t="s">
        <v>230</v>
      </c>
      <c r="H434" s="40" t="s">
        <v>230</v>
      </c>
      <c r="I434" s="40" t="s">
        <v>435</v>
      </c>
      <c r="J434" s="460">
        <v>31</v>
      </c>
      <c r="K434" s="371">
        <f t="shared" si="37"/>
        <v>200</v>
      </c>
      <c r="L434" s="72">
        <v>200</v>
      </c>
      <c r="M434" s="72"/>
      <c r="N434" s="73" t="e">
        <f t="shared" si="38"/>
        <v>#DIV/0!</v>
      </c>
      <c r="O434" s="73">
        <f t="shared" si="39"/>
        <v>0</v>
      </c>
      <c r="P434" s="74">
        <f>IF(L434="nio",0,IF(L434&gt;0,VLOOKUP(H434,'3-Productie normen'!A:J,VLOOKUP(L434,'3-Productie normen'!$B$33:$C$38,2,FALSE),FALSE)))/VLOOKUP(B434,'2-Kosten per locatie'!$A$12:$C$23,3,FALSE)</f>
        <v>0</v>
      </c>
      <c r="Q434" s="74">
        <f t="shared" si="40"/>
        <v>0</v>
      </c>
      <c r="R434" s="75" t="str">
        <f>VLOOKUP(H434,'3-Productie normen'!A:L,12,FALSE)</f>
        <v>S</v>
      </c>
      <c r="S434" s="75"/>
      <c r="U434" s="41">
        <f t="shared" si="41"/>
        <v>6200</v>
      </c>
    </row>
    <row r="435" spans="1:21" ht="14.1" customHeight="1">
      <c r="A435" s="54">
        <f t="shared" si="36"/>
        <v>435</v>
      </c>
      <c r="B435" s="70" t="s">
        <v>423</v>
      </c>
      <c r="C435" s="70"/>
      <c r="D435" s="416" t="s">
        <v>424</v>
      </c>
      <c r="E435" s="416" t="s">
        <v>241</v>
      </c>
      <c r="F435" s="71" t="s">
        <v>473</v>
      </c>
      <c r="G435" s="40" t="s">
        <v>474</v>
      </c>
      <c r="H435" s="40" t="s">
        <v>176</v>
      </c>
      <c r="I435" s="40" t="s">
        <v>435</v>
      </c>
      <c r="J435" s="460">
        <v>31.25</v>
      </c>
      <c r="K435" s="371">
        <f t="shared" si="37"/>
        <v>200</v>
      </c>
      <c r="L435" s="72">
        <v>200</v>
      </c>
      <c r="M435" s="72"/>
      <c r="N435" s="73" t="e">
        <f t="shared" si="38"/>
        <v>#DIV/0!</v>
      </c>
      <c r="O435" s="73">
        <f t="shared" si="39"/>
        <v>0</v>
      </c>
      <c r="P435" s="74">
        <f>IF(L435="nio",0,IF(L435&gt;0,VLOOKUP(H435,'3-Productie normen'!A:J,VLOOKUP(L435,'3-Productie normen'!$B$33:$C$38,2,FALSE),FALSE)))/VLOOKUP(B435,'2-Kosten per locatie'!$A$12:$C$23,3,FALSE)</f>
        <v>0</v>
      </c>
      <c r="Q435" s="74">
        <f t="shared" si="40"/>
        <v>0</v>
      </c>
      <c r="R435" s="75" t="str">
        <f>VLOOKUP(H435,'3-Productie normen'!A:L,12,FALSE)</f>
        <v>B</v>
      </c>
      <c r="S435" s="75"/>
      <c r="U435" s="41">
        <f t="shared" si="41"/>
        <v>6250</v>
      </c>
    </row>
    <row r="436" spans="1:21" ht="14.1" customHeight="1">
      <c r="A436" s="54">
        <f t="shared" si="36"/>
        <v>436</v>
      </c>
      <c r="B436" s="70" t="s">
        <v>423</v>
      </c>
      <c r="C436" s="70"/>
      <c r="D436" s="416" t="s">
        <v>424</v>
      </c>
      <c r="E436" s="416" t="s">
        <v>241</v>
      </c>
      <c r="F436" s="71" t="s">
        <v>475</v>
      </c>
      <c r="G436" s="40" t="s">
        <v>476</v>
      </c>
      <c r="H436" s="40" t="s">
        <v>231</v>
      </c>
      <c r="I436" s="40" t="s">
        <v>435</v>
      </c>
      <c r="J436" s="460">
        <v>41</v>
      </c>
      <c r="K436" s="371">
        <f t="shared" si="37"/>
        <v>200</v>
      </c>
      <c r="L436" s="72">
        <v>200</v>
      </c>
      <c r="M436" s="72"/>
      <c r="N436" s="73" t="e">
        <f t="shared" si="38"/>
        <v>#DIV/0!</v>
      </c>
      <c r="O436" s="73">
        <f t="shared" si="39"/>
        <v>0</v>
      </c>
      <c r="P436" s="74">
        <f>IF(L436="nio",0,IF(L436&gt;0,VLOOKUP(H436,'3-Productie normen'!A:J,VLOOKUP(L436,'3-Productie normen'!$B$33:$C$38,2,FALSE),FALSE)))/VLOOKUP(B436,'2-Kosten per locatie'!$A$12:$C$23,3,FALSE)</f>
        <v>0</v>
      </c>
      <c r="Q436" s="74">
        <f t="shared" si="40"/>
        <v>0</v>
      </c>
      <c r="R436" s="75" t="str">
        <f>VLOOKUP(H436,'3-Productie normen'!A:L,12,FALSE)</f>
        <v>L</v>
      </c>
      <c r="S436" s="75"/>
      <c r="U436" s="41">
        <f t="shared" si="41"/>
        <v>8200</v>
      </c>
    </row>
    <row r="437" spans="1:21" ht="14.1" customHeight="1">
      <c r="A437" s="54">
        <f t="shared" si="36"/>
        <v>437</v>
      </c>
      <c r="B437" s="70" t="s">
        <v>423</v>
      </c>
      <c r="C437" s="70"/>
      <c r="D437" s="416" t="s">
        <v>424</v>
      </c>
      <c r="E437" s="416" t="s">
        <v>241</v>
      </c>
      <c r="F437" s="71" t="s">
        <v>477</v>
      </c>
      <c r="G437" s="40" t="s">
        <v>267</v>
      </c>
      <c r="H437" s="40" t="s">
        <v>177</v>
      </c>
      <c r="I437" s="40" t="s">
        <v>435</v>
      </c>
      <c r="J437" s="460">
        <v>8</v>
      </c>
      <c r="K437" s="371">
        <f t="shared" si="37"/>
        <v>200</v>
      </c>
      <c r="L437" s="72">
        <v>200</v>
      </c>
      <c r="M437" s="72"/>
      <c r="N437" s="73" t="e">
        <f t="shared" si="38"/>
        <v>#DIV/0!</v>
      </c>
      <c r="O437" s="73">
        <f t="shared" si="39"/>
        <v>0</v>
      </c>
      <c r="P437" s="74">
        <f>IF(L437="nio",0,IF(L437&gt;0,VLOOKUP(H437,'3-Productie normen'!A:J,VLOOKUP(L437,'3-Productie normen'!$B$33:$C$38,2,FALSE),FALSE)))/VLOOKUP(B437,'2-Kosten per locatie'!$A$12:$C$23,3,FALSE)</f>
        <v>0</v>
      </c>
      <c r="Q437" s="74">
        <f t="shared" si="40"/>
        <v>0</v>
      </c>
      <c r="R437" s="75" t="str">
        <f>VLOOKUP(H437,'3-Productie normen'!A:L,12,FALSE)</f>
        <v>V</v>
      </c>
      <c r="S437" s="75"/>
      <c r="U437" s="41">
        <f t="shared" si="41"/>
        <v>1600</v>
      </c>
    </row>
    <row r="438" spans="1:21" ht="14.1" customHeight="1">
      <c r="A438" s="54">
        <f t="shared" si="36"/>
        <v>438</v>
      </c>
      <c r="B438" s="70" t="s">
        <v>423</v>
      </c>
      <c r="C438" s="70"/>
      <c r="D438" s="416" t="s">
        <v>424</v>
      </c>
      <c r="E438" s="416" t="s">
        <v>241</v>
      </c>
      <c r="F438" s="71" t="s">
        <v>478</v>
      </c>
      <c r="G438" s="40" t="s">
        <v>479</v>
      </c>
      <c r="H438" s="40" t="s">
        <v>101</v>
      </c>
      <c r="I438" s="40"/>
      <c r="J438" s="460">
        <v>5.7</v>
      </c>
      <c r="K438" s="371">
        <f t="shared" si="37"/>
        <v>0</v>
      </c>
      <c r="L438" s="72" t="s">
        <v>101</v>
      </c>
      <c r="M438" s="72"/>
      <c r="N438" s="73">
        <f t="shared" si="38"/>
        <v>0</v>
      </c>
      <c r="O438" s="73">
        <f t="shared" si="39"/>
        <v>0</v>
      </c>
      <c r="P438" s="74">
        <f>IF(L438="nio",0,IF(L438&gt;0,VLOOKUP(H438,'3-Productie normen'!A:J,VLOOKUP(L438,'3-Productie normen'!$B$33:$C$38,2,FALSE),FALSE)))/VLOOKUP(B438,'2-Kosten per locatie'!$A$12:$C$23,3,FALSE)</f>
        <v>0</v>
      </c>
      <c r="Q438" s="74">
        <f t="shared" si="40"/>
        <v>0</v>
      </c>
      <c r="R438" s="75">
        <f>VLOOKUP(H438,'3-Productie normen'!A:L,12,FALSE)</f>
        <v>0</v>
      </c>
      <c r="S438" s="75"/>
      <c r="U438" s="41">
        <f t="shared" si="41"/>
        <v>0</v>
      </c>
    </row>
    <row r="439" spans="1:21" ht="14.1" customHeight="1">
      <c r="A439" s="54">
        <f t="shared" si="36"/>
        <v>439</v>
      </c>
      <c r="B439" s="70" t="s">
        <v>423</v>
      </c>
      <c r="C439" s="70"/>
      <c r="D439" s="416" t="s">
        <v>424</v>
      </c>
      <c r="E439" s="416" t="s">
        <v>241</v>
      </c>
      <c r="F439" s="71" t="s">
        <v>480</v>
      </c>
      <c r="G439" s="40" t="s">
        <v>460</v>
      </c>
      <c r="H439" s="40" t="s">
        <v>17</v>
      </c>
      <c r="I439" s="40" t="s">
        <v>444</v>
      </c>
      <c r="J439" s="460">
        <v>3.26</v>
      </c>
      <c r="K439" s="371">
        <f t="shared" si="37"/>
        <v>200</v>
      </c>
      <c r="L439" s="72">
        <v>200</v>
      </c>
      <c r="M439" s="72"/>
      <c r="N439" s="73" t="e">
        <f t="shared" si="38"/>
        <v>#DIV/0!</v>
      </c>
      <c r="O439" s="73">
        <f t="shared" si="39"/>
        <v>0</v>
      </c>
      <c r="P439" s="74">
        <f>IF(L439="nio",0,IF(L439&gt;0,VLOOKUP(H439,'3-Productie normen'!A:J,VLOOKUP(L439,'3-Productie normen'!$B$33:$C$38,2,FALSE),FALSE)))/VLOOKUP(B439,'2-Kosten per locatie'!$A$12:$C$23,3,FALSE)</f>
        <v>0</v>
      </c>
      <c r="Q439" s="74">
        <f t="shared" si="40"/>
        <v>0</v>
      </c>
      <c r="R439" s="75" t="str">
        <f>VLOOKUP(H439,'3-Productie normen'!A:L,12,FALSE)</f>
        <v>S</v>
      </c>
      <c r="S439" s="75"/>
      <c r="U439" s="41">
        <f t="shared" si="41"/>
        <v>652</v>
      </c>
    </row>
    <row r="440" spans="1:21" ht="14.1" customHeight="1">
      <c r="A440" s="54">
        <f t="shared" si="36"/>
        <v>440</v>
      </c>
      <c r="B440" s="70" t="s">
        <v>423</v>
      </c>
      <c r="C440" s="70"/>
      <c r="D440" s="416" t="s">
        <v>424</v>
      </c>
      <c r="E440" s="416" t="s">
        <v>241</v>
      </c>
      <c r="F440" s="71" t="s">
        <v>481</v>
      </c>
      <c r="G440" s="40" t="s">
        <v>263</v>
      </c>
      <c r="H440" s="40" t="s">
        <v>101</v>
      </c>
      <c r="I440" s="40" t="s">
        <v>444</v>
      </c>
      <c r="J440" s="464">
        <v>3</v>
      </c>
      <c r="K440" s="371">
        <f t="shared" si="37"/>
        <v>0</v>
      </c>
      <c r="L440" s="72" t="s">
        <v>101</v>
      </c>
      <c r="M440" s="72"/>
      <c r="N440" s="73">
        <f t="shared" si="38"/>
        <v>0</v>
      </c>
      <c r="O440" s="73">
        <f t="shared" si="39"/>
        <v>0</v>
      </c>
      <c r="P440" s="74">
        <f>IF(L440="nio",0,IF(L440&gt;0,VLOOKUP(H440,'3-Productie normen'!A:J,VLOOKUP(L440,'3-Productie normen'!$B$33:$C$38,2,FALSE),FALSE)))/VLOOKUP(B440,'2-Kosten per locatie'!$A$12:$C$23,3,FALSE)</f>
        <v>0</v>
      </c>
      <c r="Q440" s="74">
        <f t="shared" si="40"/>
        <v>0</v>
      </c>
      <c r="R440" s="75">
        <f>VLOOKUP(H440,'3-Productie normen'!A:L,12,FALSE)</f>
        <v>0</v>
      </c>
      <c r="S440" s="75"/>
      <c r="U440" s="41">
        <f t="shared" si="41"/>
        <v>0</v>
      </c>
    </row>
    <row r="441" spans="1:21" ht="14.1" customHeight="1">
      <c r="A441" s="54">
        <f t="shared" si="36"/>
        <v>441</v>
      </c>
      <c r="B441" s="70" t="s">
        <v>423</v>
      </c>
      <c r="C441" s="70"/>
      <c r="D441" s="417" t="s">
        <v>424</v>
      </c>
      <c r="E441" s="417" t="s">
        <v>241</v>
      </c>
      <c r="F441" s="79" t="s">
        <v>482</v>
      </c>
      <c r="G441" s="80" t="s">
        <v>483</v>
      </c>
      <c r="H441" s="80" t="s">
        <v>240</v>
      </c>
      <c r="I441" s="80" t="s">
        <v>435</v>
      </c>
      <c r="J441" s="460">
        <v>49</v>
      </c>
      <c r="K441" s="371">
        <f t="shared" si="37"/>
        <v>200</v>
      </c>
      <c r="L441" s="72">
        <v>200</v>
      </c>
      <c r="M441" s="72"/>
      <c r="N441" s="73" t="e">
        <f t="shared" si="38"/>
        <v>#DIV/0!</v>
      </c>
      <c r="O441" s="73">
        <f t="shared" si="39"/>
        <v>0</v>
      </c>
      <c r="P441" s="74">
        <f>IF(L441="nio",0,IF(L441&gt;0,VLOOKUP(H441,'3-Productie normen'!A:J,VLOOKUP(L441,'3-Productie normen'!$B$33:$C$38,2,FALSE),FALSE)))/VLOOKUP(B441,'2-Kosten per locatie'!$A$12:$C$23,3,FALSE)</f>
        <v>0</v>
      </c>
      <c r="Q441" s="74">
        <f t="shared" si="40"/>
        <v>0</v>
      </c>
      <c r="R441" s="75" t="str">
        <f>VLOOKUP(H441,'3-Productie normen'!A:L,12,FALSE)</f>
        <v>V</v>
      </c>
      <c r="S441" s="75"/>
      <c r="U441" s="41">
        <f t="shared" si="41"/>
        <v>9800</v>
      </c>
    </row>
    <row r="442" spans="1:21" ht="14.1" customHeight="1">
      <c r="A442" s="54">
        <f t="shared" si="36"/>
        <v>442</v>
      </c>
      <c r="B442" s="70" t="s">
        <v>423</v>
      </c>
      <c r="C442" s="70"/>
      <c r="D442" s="416" t="s">
        <v>424</v>
      </c>
      <c r="E442" s="416" t="s">
        <v>241</v>
      </c>
      <c r="F442" s="71" t="s">
        <v>484</v>
      </c>
      <c r="G442" s="40" t="s">
        <v>485</v>
      </c>
      <c r="H442" s="40" t="s">
        <v>240</v>
      </c>
      <c r="I442" s="40" t="s">
        <v>435</v>
      </c>
      <c r="J442" s="460">
        <v>53</v>
      </c>
      <c r="K442" s="371">
        <f t="shared" si="37"/>
        <v>200</v>
      </c>
      <c r="L442" s="72">
        <v>200</v>
      </c>
      <c r="M442" s="72"/>
      <c r="N442" s="73" t="e">
        <f t="shared" si="38"/>
        <v>#DIV/0!</v>
      </c>
      <c r="O442" s="73">
        <f t="shared" si="39"/>
        <v>0</v>
      </c>
      <c r="P442" s="74">
        <f>IF(L442="nio",0,IF(L442&gt;0,VLOOKUP(H442,'3-Productie normen'!A:J,VLOOKUP(L442,'3-Productie normen'!$B$33:$C$38,2,FALSE),FALSE)))/VLOOKUP(B442,'2-Kosten per locatie'!$A$12:$C$23,3,FALSE)</f>
        <v>0</v>
      </c>
      <c r="Q442" s="74">
        <f t="shared" si="40"/>
        <v>0</v>
      </c>
      <c r="R442" s="75" t="str">
        <f>VLOOKUP(H442,'3-Productie normen'!A:L,12,FALSE)</f>
        <v>V</v>
      </c>
      <c r="S442" s="75"/>
      <c r="U442" s="41">
        <f t="shared" si="41"/>
        <v>10600</v>
      </c>
    </row>
    <row r="443" spans="1:21" ht="14.1" customHeight="1">
      <c r="A443" s="54">
        <f t="shared" si="36"/>
        <v>443</v>
      </c>
      <c r="B443" s="70" t="s">
        <v>423</v>
      </c>
      <c r="C443" s="70"/>
      <c r="D443" s="416" t="s">
        <v>424</v>
      </c>
      <c r="E443" s="416" t="s">
        <v>241</v>
      </c>
      <c r="F443" s="71" t="s">
        <v>486</v>
      </c>
      <c r="G443" s="40" t="s">
        <v>451</v>
      </c>
      <c r="H443" s="40" t="s">
        <v>101</v>
      </c>
      <c r="I443" s="40" t="s">
        <v>451</v>
      </c>
      <c r="J443" s="460"/>
      <c r="K443" s="371">
        <f t="shared" si="37"/>
        <v>0</v>
      </c>
      <c r="L443" s="72" t="s">
        <v>101</v>
      </c>
      <c r="M443" s="72"/>
      <c r="N443" s="73">
        <f t="shared" si="38"/>
        <v>0</v>
      </c>
      <c r="O443" s="73">
        <f t="shared" si="39"/>
        <v>0</v>
      </c>
      <c r="P443" s="74">
        <f>IF(L443="nio",0,IF(L443&gt;0,VLOOKUP(H443,'3-Productie normen'!A:J,VLOOKUP(L443,'3-Productie normen'!$B$33:$C$38,2,FALSE),FALSE)))/VLOOKUP(B443,'2-Kosten per locatie'!$A$12:$C$23,3,FALSE)</f>
        <v>0</v>
      </c>
      <c r="Q443" s="74">
        <f t="shared" si="40"/>
        <v>0</v>
      </c>
      <c r="R443" s="75">
        <f>VLOOKUP(H443,'3-Productie normen'!A:L,12,FALSE)</f>
        <v>0</v>
      </c>
      <c r="S443" s="75"/>
      <c r="U443" s="41">
        <f t="shared" si="41"/>
        <v>0</v>
      </c>
    </row>
    <row r="444" spans="1:21" ht="14.1" customHeight="1">
      <c r="A444" s="54">
        <f t="shared" si="36"/>
        <v>444</v>
      </c>
      <c r="B444" s="70" t="s">
        <v>423</v>
      </c>
      <c r="C444" s="70"/>
      <c r="D444" s="416" t="s">
        <v>424</v>
      </c>
      <c r="E444" s="416" t="s">
        <v>241</v>
      </c>
      <c r="F444" s="71" t="s">
        <v>487</v>
      </c>
      <c r="G444" s="40" t="s">
        <v>488</v>
      </c>
      <c r="H444" s="40" t="s">
        <v>246</v>
      </c>
      <c r="I444" s="40" t="s">
        <v>435</v>
      </c>
      <c r="J444" s="460">
        <v>48</v>
      </c>
      <c r="K444" s="371">
        <f t="shared" si="37"/>
        <v>200</v>
      </c>
      <c r="L444" s="72">
        <v>200</v>
      </c>
      <c r="M444" s="72"/>
      <c r="N444" s="73" t="e">
        <f t="shared" si="38"/>
        <v>#DIV/0!</v>
      </c>
      <c r="O444" s="73">
        <f t="shared" si="39"/>
        <v>0</v>
      </c>
      <c r="P444" s="74">
        <f>IF(L444="nio",0,IF(L444&gt;0,VLOOKUP(H444,'3-Productie normen'!A:J,VLOOKUP(L444,'3-Productie normen'!$B$33:$C$38,2,FALSE),FALSE)))/VLOOKUP(B444,'2-Kosten per locatie'!$A$12:$C$23,3,FALSE)</f>
        <v>0</v>
      </c>
      <c r="Q444" s="74">
        <f t="shared" si="40"/>
        <v>0</v>
      </c>
      <c r="R444" s="75" t="str">
        <f>VLOOKUP(H444,'3-Productie normen'!A:L,12,FALSE)</f>
        <v>V</v>
      </c>
      <c r="S444" s="75"/>
      <c r="U444" s="41">
        <f t="shared" si="41"/>
        <v>9600</v>
      </c>
    </row>
    <row r="445" spans="1:21" ht="14.1" customHeight="1">
      <c r="A445" s="54">
        <f t="shared" si="36"/>
        <v>445</v>
      </c>
      <c r="B445" s="70" t="s">
        <v>423</v>
      </c>
      <c r="C445" s="70"/>
      <c r="D445" s="416" t="s">
        <v>424</v>
      </c>
      <c r="E445" s="416" t="s">
        <v>241</v>
      </c>
      <c r="F445" s="71" t="s">
        <v>489</v>
      </c>
      <c r="G445" s="40" t="s">
        <v>244</v>
      </c>
      <c r="H445" s="40" t="s">
        <v>244</v>
      </c>
      <c r="I445" s="40" t="s">
        <v>428</v>
      </c>
      <c r="J445" s="460">
        <v>80</v>
      </c>
      <c r="K445" s="371">
        <f t="shared" si="37"/>
        <v>200</v>
      </c>
      <c r="L445" s="72">
        <v>200</v>
      </c>
      <c r="M445" s="72"/>
      <c r="N445" s="73" t="e">
        <f t="shared" si="38"/>
        <v>#DIV/0!</v>
      </c>
      <c r="O445" s="73">
        <f t="shared" si="39"/>
        <v>0</v>
      </c>
      <c r="P445" s="74">
        <f>IF(L445="nio",0,IF(L445&gt;0,VLOOKUP(H445,'3-Productie normen'!A:J,VLOOKUP(L445,'3-Productie normen'!$B$33:$C$38,2,FALSE),FALSE)))/VLOOKUP(B445,'2-Kosten per locatie'!$A$12:$C$23,3,FALSE)</f>
        <v>0</v>
      </c>
      <c r="Q445" s="74">
        <f t="shared" si="40"/>
        <v>0</v>
      </c>
      <c r="R445" s="75" t="str">
        <f>VLOOKUP(H445,'3-Productie normen'!A:L,12,FALSE)</f>
        <v>S</v>
      </c>
      <c r="S445" s="75"/>
      <c r="U445" s="41">
        <f t="shared" si="41"/>
        <v>16000</v>
      </c>
    </row>
    <row r="446" spans="1:21" ht="14.1" customHeight="1">
      <c r="A446" s="54">
        <f t="shared" si="36"/>
        <v>446</v>
      </c>
      <c r="B446" s="70" t="s">
        <v>423</v>
      </c>
      <c r="C446" s="70"/>
      <c r="D446" s="416" t="s">
        <v>424</v>
      </c>
      <c r="E446" s="416" t="s">
        <v>241</v>
      </c>
      <c r="F446" s="71" t="s">
        <v>490</v>
      </c>
      <c r="G446" s="40" t="s">
        <v>491</v>
      </c>
      <c r="H446" s="40" t="s">
        <v>244</v>
      </c>
      <c r="I446" s="40" t="s">
        <v>428</v>
      </c>
      <c r="J446" s="460">
        <v>10</v>
      </c>
      <c r="K446" s="371">
        <f t="shared" si="37"/>
        <v>200</v>
      </c>
      <c r="L446" s="72">
        <v>200</v>
      </c>
      <c r="M446" s="72"/>
      <c r="N446" s="73" t="e">
        <f t="shared" si="38"/>
        <v>#DIV/0!</v>
      </c>
      <c r="O446" s="73">
        <f t="shared" si="39"/>
        <v>0</v>
      </c>
      <c r="P446" s="74">
        <f>IF(L446="nio",0,IF(L446&gt;0,VLOOKUP(H446,'3-Productie normen'!A:J,VLOOKUP(L446,'3-Productie normen'!$B$33:$C$38,2,FALSE),FALSE)))/VLOOKUP(B446,'2-Kosten per locatie'!$A$12:$C$23,3,FALSE)</f>
        <v>0</v>
      </c>
      <c r="Q446" s="74">
        <f t="shared" si="40"/>
        <v>0</v>
      </c>
      <c r="R446" s="75" t="str">
        <f>VLOOKUP(H446,'3-Productie normen'!A:L,12,FALSE)</f>
        <v>S</v>
      </c>
      <c r="S446" s="75"/>
      <c r="U446" s="41">
        <f t="shared" si="41"/>
        <v>2000</v>
      </c>
    </row>
    <row r="447" spans="1:21" ht="14.1" customHeight="1">
      <c r="A447" s="54">
        <f t="shared" si="36"/>
        <v>447</v>
      </c>
      <c r="B447" s="70" t="s">
        <v>423</v>
      </c>
      <c r="C447" s="70"/>
      <c r="D447" s="416" t="s">
        <v>424</v>
      </c>
      <c r="E447" s="416" t="s">
        <v>241</v>
      </c>
      <c r="F447" s="71" t="s">
        <v>492</v>
      </c>
      <c r="G447" s="40" t="s">
        <v>217</v>
      </c>
      <c r="H447" s="40" t="s">
        <v>226</v>
      </c>
      <c r="I447" s="40" t="s">
        <v>426</v>
      </c>
      <c r="J447" s="460">
        <v>8</v>
      </c>
      <c r="K447" s="371">
        <f t="shared" si="37"/>
        <v>200</v>
      </c>
      <c r="L447" s="72">
        <v>200</v>
      </c>
      <c r="M447" s="72"/>
      <c r="N447" s="73" t="e">
        <f t="shared" si="38"/>
        <v>#DIV/0!</v>
      </c>
      <c r="O447" s="73">
        <f t="shared" si="39"/>
        <v>0</v>
      </c>
      <c r="P447" s="74">
        <f>IF(L447="nio",0,IF(L447&gt;0,VLOOKUP(H447,'3-Productie normen'!A:J,VLOOKUP(L447,'3-Productie normen'!$B$33:$C$38,2,FALSE),FALSE)))/VLOOKUP(B447,'2-Kosten per locatie'!$A$12:$C$23,3,FALSE)</f>
        <v>0</v>
      </c>
      <c r="Q447" s="74">
        <f t="shared" si="40"/>
        <v>0</v>
      </c>
      <c r="R447" s="75" t="str">
        <f>VLOOKUP(H447,'3-Productie normen'!A:L,12,FALSE)</f>
        <v>V</v>
      </c>
      <c r="S447" s="75"/>
      <c r="U447" s="41">
        <f t="shared" si="41"/>
        <v>1600</v>
      </c>
    </row>
    <row r="448" spans="1:21" ht="14.1" customHeight="1">
      <c r="A448" s="54">
        <f t="shared" si="36"/>
        <v>448</v>
      </c>
      <c r="B448" s="70" t="s">
        <v>423</v>
      </c>
      <c r="C448" s="70"/>
      <c r="D448" s="416" t="s">
        <v>424</v>
      </c>
      <c r="E448" s="416" t="s">
        <v>241</v>
      </c>
      <c r="F448" s="71" t="s">
        <v>493</v>
      </c>
      <c r="G448" s="40" t="s">
        <v>299</v>
      </c>
      <c r="H448" s="40" t="s">
        <v>101</v>
      </c>
      <c r="I448" s="40" t="s">
        <v>426</v>
      </c>
      <c r="J448" s="460">
        <v>75.25</v>
      </c>
      <c r="K448" s="371">
        <f t="shared" si="37"/>
        <v>0</v>
      </c>
      <c r="L448" s="72" t="s">
        <v>101</v>
      </c>
      <c r="M448" s="72"/>
      <c r="N448" s="73">
        <f t="shared" si="38"/>
        <v>0</v>
      </c>
      <c r="O448" s="73">
        <f t="shared" si="39"/>
        <v>0</v>
      </c>
      <c r="P448" s="74">
        <f>IF(L448="nio",0,IF(L448&gt;0,VLOOKUP(H448,'3-Productie normen'!A:J,VLOOKUP(L448,'3-Productie normen'!$B$33:$C$38,2,FALSE),FALSE)))/VLOOKUP(B448,'2-Kosten per locatie'!$A$12:$C$23,3,FALSE)</f>
        <v>0</v>
      </c>
      <c r="Q448" s="74">
        <f t="shared" si="40"/>
        <v>0</v>
      </c>
      <c r="R448" s="75">
        <f>VLOOKUP(H448,'3-Productie normen'!A:L,12,FALSE)</f>
        <v>0</v>
      </c>
      <c r="S448" s="75"/>
      <c r="U448" s="41">
        <f t="shared" si="41"/>
        <v>0</v>
      </c>
    </row>
    <row r="449" spans="1:21" ht="14.1" customHeight="1">
      <c r="A449" s="54">
        <f t="shared" si="36"/>
        <v>449</v>
      </c>
      <c r="B449" s="70" t="s">
        <v>423</v>
      </c>
      <c r="C449" s="70"/>
      <c r="D449" s="416" t="s">
        <v>424</v>
      </c>
      <c r="E449" s="416" t="s">
        <v>241</v>
      </c>
      <c r="F449" s="71" t="s">
        <v>494</v>
      </c>
      <c r="G449" s="40" t="s">
        <v>460</v>
      </c>
      <c r="H449" s="40" t="s">
        <v>17</v>
      </c>
      <c r="I449" s="40" t="s">
        <v>444</v>
      </c>
      <c r="J449" s="460">
        <v>1.2</v>
      </c>
      <c r="K449" s="371">
        <f t="shared" si="37"/>
        <v>200</v>
      </c>
      <c r="L449" s="72">
        <v>200</v>
      </c>
      <c r="M449" s="72"/>
      <c r="N449" s="73" t="e">
        <f t="shared" si="38"/>
        <v>#DIV/0!</v>
      </c>
      <c r="O449" s="73">
        <f t="shared" si="39"/>
        <v>0</v>
      </c>
      <c r="P449" s="74">
        <f>IF(L449="nio",0,IF(L449&gt;0,VLOOKUP(H449,'3-Productie normen'!A:J,VLOOKUP(L449,'3-Productie normen'!$B$33:$C$38,2,FALSE),FALSE)))/VLOOKUP(B449,'2-Kosten per locatie'!$A$12:$C$23,3,FALSE)</f>
        <v>0</v>
      </c>
      <c r="Q449" s="74">
        <f t="shared" si="40"/>
        <v>0</v>
      </c>
      <c r="R449" s="75" t="str">
        <f>VLOOKUP(H449,'3-Productie normen'!A:L,12,FALSE)</f>
        <v>S</v>
      </c>
      <c r="S449" s="75"/>
      <c r="U449" s="41">
        <f t="shared" si="41"/>
        <v>240</v>
      </c>
    </row>
    <row r="450" spans="1:21" ht="14.1" customHeight="1">
      <c r="A450" s="54">
        <f t="shared" si="36"/>
        <v>450</v>
      </c>
      <c r="B450" s="70" t="s">
        <v>423</v>
      </c>
      <c r="C450" s="70"/>
      <c r="D450" s="416" t="s">
        <v>424</v>
      </c>
      <c r="E450" s="416" t="s">
        <v>241</v>
      </c>
      <c r="F450" s="71" t="s">
        <v>495</v>
      </c>
      <c r="G450" s="40" t="s">
        <v>460</v>
      </c>
      <c r="H450" s="40" t="s">
        <v>17</v>
      </c>
      <c r="I450" s="40" t="s">
        <v>444</v>
      </c>
      <c r="J450" s="460">
        <v>1.2</v>
      </c>
      <c r="K450" s="371">
        <f t="shared" si="37"/>
        <v>200</v>
      </c>
      <c r="L450" s="72">
        <v>200</v>
      </c>
      <c r="M450" s="72"/>
      <c r="N450" s="73" t="e">
        <f t="shared" si="38"/>
        <v>#DIV/0!</v>
      </c>
      <c r="O450" s="73">
        <f t="shared" si="39"/>
        <v>0</v>
      </c>
      <c r="P450" s="74">
        <f>IF(L450="nio",0,IF(L450&gt;0,VLOOKUP(H450,'3-Productie normen'!A:J,VLOOKUP(L450,'3-Productie normen'!$B$33:$C$38,2,FALSE),FALSE)))/VLOOKUP(B450,'2-Kosten per locatie'!$A$12:$C$23,3,FALSE)</f>
        <v>0</v>
      </c>
      <c r="Q450" s="74">
        <f t="shared" si="40"/>
        <v>0</v>
      </c>
      <c r="R450" s="75" t="str">
        <f>VLOOKUP(H450,'3-Productie normen'!A:L,12,FALSE)</f>
        <v>S</v>
      </c>
      <c r="S450" s="75"/>
      <c r="U450" s="41">
        <f t="shared" si="41"/>
        <v>240</v>
      </c>
    </row>
    <row r="451" spans="1:21" ht="14.1" customHeight="1">
      <c r="A451" s="54">
        <f t="shared" ref="A451:A514" si="42">A450+1</f>
        <v>451</v>
      </c>
      <c r="B451" s="70" t="s">
        <v>423</v>
      </c>
      <c r="C451" s="70"/>
      <c r="D451" s="416" t="s">
        <v>424</v>
      </c>
      <c r="E451" s="416" t="s">
        <v>241</v>
      </c>
      <c r="F451" s="71" t="s">
        <v>496</v>
      </c>
      <c r="G451" s="40" t="s">
        <v>460</v>
      </c>
      <c r="H451" s="40" t="s">
        <v>17</v>
      </c>
      <c r="I451" s="40" t="s">
        <v>444</v>
      </c>
      <c r="J451" s="460">
        <v>1.2</v>
      </c>
      <c r="K451" s="371">
        <f t="shared" si="37"/>
        <v>200</v>
      </c>
      <c r="L451" s="72">
        <v>200</v>
      </c>
      <c r="M451" s="72"/>
      <c r="N451" s="73" t="e">
        <f t="shared" si="38"/>
        <v>#DIV/0!</v>
      </c>
      <c r="O451" s="73">
        <f t="shared" si="39"/>
        <v>0</v>
      </c>
      <c r="P451" s="74">
        <f>IF(L451="nio",0,IF(L451&gt;0,VLOOKUP(H451,'3-Productie normen'!A:J,VLOOKUP(L451,'3-Productie normen'!$B$33:$C$38,2,FALSE),FALSE)))/VLOOKUP(B451,'2-Kosten per locatie'!$A$12:$C$23,3,FALSE)</f>
        <v>0</v>
      </c>
      <c r="Q451" s="74">
        <f t="shared" si="40"/>
        <v>0</v>
      </c>
      <c r="R451" s="75" t="str">
        <f>VLOOKUP(H451,'3-Productie normen'!A:L,12,FALSE)</f>
        <v>S</v>
      </c>
      <c r="S451" s="75"/>
      <c r="U451" s="41">
        <f t="shared" si="41"/>
        <v>240</v>
      </c>
    </row>
    <row r="452" spans="1:21" ht="14.1" customHeight="1">
      <c r="A452" s="54">
        <f t="shared" si="42"/>
        <v>452</v>
      </c>
      <c r="B452" s="70" t="s">
        <v>423</v>
      </c>
      <c r="C452" s="70"/>
      <c r="D452" s="416" t="s">
        <v>424</v>
      </c>
      <c r="E452" s="416" t="s">
        <v>241</v>
      </c>
      <c r="F452" s="71" t="s">
        <v>497</v>
      </c>
      <c r="G452" s="40" t="s">
        <v>460</v>
      </c>
      <c r="H452" s="40" t="s">
        <v>17</v>
      </c>
      <c r="I452" s="40" t="s">
        <v>444</v>
      </c>
      <c r="J452" s="460">
        <v>1.2</v>
      </c>
      <c r="K452" s="371">
        <f t="shared" si="37"/>
        <v>200</v>
      </c>
      <c r="L452" s="72">
        <v>200</v>
      </c>
      <c r="M452" s="72"/>
      <c r="N452" s="73" t="e">
        <f t="shared" si="38"/>
        <v>#DIV/0!</v>
      </c>
      <c r="O452" s="73">
        <f t="shared" si="39"/>
        <v>0</v>
      </c>
      <c r="P452" s="74">
        <f>IF(L452="nio",0,IF(L452&gt;0,VLOOKUP(H452,'3-Productie normen'!A:J,VLOOKUP(L452,'3-Productie normen'!$B$33:$C$38,2,FALSE),FALSE)))/VLOOKUP(B452,'2-Kosten per locatie'!$A$12:$C$23,3,FALSE)</f>
        <v>0</v>
      </c>
      <c r="Q452" s="74">
        <f t="shared" si="40"/>
        <v>0</v>
      </c>
      <c r="R452" s="75" t="str">
        <f>VLOOKUP(H452,'3-Productie normen'!A:L,12,FALSE)</f>
        <v>S</v>
      </c>
      <c r="S452" s="75"/>
      <c r="U452" s="41">
        <f t="shared" si="41"/>
        <v>240</v>
      </c>
    </row>
    <row r="453" spans="1:21" ht="14.1" customHeight="1">
      <c r="A453" s="54">
        <f t="shared" si="42"/>
        <v>453</v>
      </c>
      <c r="B453" s="70" t="s">
        <v>423</v>
      </c>
      <c r="C453" s="70"/>
      <c r="D453" s="416" t="s">
        <v>424</v>
      </c>
      <c r="E453" s="416" t="s">
        <v>241</v>
      </c>
      <c r="F453" s="71" t="s">
        <v>498</v>
      </c>
      <c r="G453" s="40" t="s">
        <v>460</v>
      </c>
      <c r="H453" s="40" t="s">
        <v>17</v>
      </c>
      <c r="I453" s="40" t="s">
        <v>444</v>
      </c>
      <c r="J453" s="460">
        <v>1.2</v>
      </c>
      <c r="K453" s="371">
        <f t="shared" si="37"/>
        <v>200</v>
      </c>
      <c r="L453" s="72">
        <v>200</v>
      </c>
      <c r="M453" s="72"/>
      <c r="N453" s="73" t="e">
        <f t="shared" si="38"/>
        <v>#DIV/0!</v>
      </c>
      <c r="O453" s="73">
        <f t="shared" si="39"/>
        <v>0</v>
      </c>
      <c r="P453" s="74">
        <f>IF(L453="nio",0,IF(L453&gt;0,VLOOKUP(H453,'3-Productie normen'!A:J,VLOOKUP(L453,'3-Productie normen'!$B$33:$C$38,2,FALSE),FALSE)))/VLOOKUP(B453,'2-Kosten per locatie'!$A$12:$C$23,3,FALSE)</f>
        <v>0</v>
      </c>
      <c r="Q453" s="74">
        <f t="shared" si="40"/>
        <v>0</v>
      </c>
      <c r="R453" s="75" t="str">
        <f>VLOOKUP(H453,'3-Productie normen'!A:L,12,FALSE)</f>
        <v>S</v>
      </c>
      <c r="S453" s="75"/>
      <c r="U453" s="41">
        <f t="shared" si="41"/>
        <v>240</v>
      </c>
    </row>
    <row r="454" spans="1:21" ht="14.1" customHeight="1">
      <c r="A454" s="54">
        <f t="shared" si="42"/>
        <v>454</v>
      </c>
      <c r="B454" s="70" t="s">
        <v>423</v>
      </c>
      <c r="C454" s="70"/>
      <c r="D454" s="416" t="s">
        <v>424</v>
      </c>
      <c r="E454" s="416" t="s">
        <v>241</v>
      </c>
      <c r="F454" s="71" t="s">
        <v>499</v>
      </c>
      <c r="G454" s="40" t="s">
        <v>460</v>
      </c>
      <c r="H454" s="40" t="s">
        <v>17</v>
      </c>
      <c r="I454" s="40" t="s">
        <v>444</v>
      </c>
      <c r="J454" s="460">
        <v>1.2</v>
      </c>
      <c r="K454" s="371">
        <f t="shared" si="37"/>
        <v>200</v>
      </c>
      <c r="L454" s="72">
        <v>200</v>
      </c>
      <c r="M454" s="72"/>
      <c r="N454" s="73" t="e">
        <f t="shared" si="38"/>
        <v>#DIV/0!</v>
      </c>
      <c r="O454" s="73">
        <f t="shared" si="39"/>
        <v>0</v>
      </c>
      <c r="P454" s="74">
        <f>IF(L454="nio",0,IF(L454&gt;0,VLOOKUP(H454,'3-Productie normen'!A:J,VLOOKUP(L454,'3-Productie normen'!$B$33:$C$38,2,FALSE),FALSE)))/VLOOKUP(B454,'2-Kosten per locatie'!$A$12:$C$23,3,FALSE)</f>
        <v>0</v>
      </c>
      <c r="Q454" s="74">
        <f t="shared" si="40"/>
        <v>0</v>
      </c>
      <c r="R454" s="75" t="str">
        <f>VLOOKUP(H454,'3-Productie normen'!A:L,12,FALSE)</f>
        <v>S</v>
      </c>
      <c r="S454" s="75"/>
      <c r="U454" s="41">
        <f t="shared" si="41"/>
        <v>240</v>
      </c>
    </row>
    <row r="455" spans="1:21" ht="14.1" customHeight="1">
      <c r="A455" s="54">
        <f t="shared" si="42"/>
        <v>455</v>
      </c>
      <c r="B455" s="70" t="s">
        <v>423</v>
      </c>
      <c r="C455" s="70"/>
      <c r="D455" s="416" t="s">
        <v>424</v>
      </c>
      <c r="E455" s="416" t="s">
        <v>241</v>
      </c>
      <c r="F455" s="71" t="s">
        <v>500</v>
      </c>
      <c r="G455" s="40" t="s">
        <v>268</v>
      </c>
      <c r="H455" s="40" t="s">
        <v>232</v>
      </c>
      <c r="I455" s="40" t="s">
        <v>426</v>
      </c>
      <c r="J455" s="460">
        <v>29.5</v>
      </c>
      <c r="K455" s="371">
        <f t="shared" si="37"/>
        <v>200</v>
      </c>
      <c r="L455" s="72">
        <v>200</v>
      </c>
      <c r="M455" s="72"/>
      <c r="N455" s="73" t="e">
        <f t="shared" si="38"/>
        <v>#DIV/0!</v>
      </c>
      <c r="O455" s="73">
        <f t="shared" si="39"/>
        <v>0</v>
      </c>
      <c r="P455" s="74">
        <f>IF(L455="nio",0,IF(L455&gt;0,VLOOKUP(H455,'3-Productie normen'!A:J,VLOOKUP(L455,'3-Productie normen'!$B$33:$C$38,2,FALSE),FALSE)))/VLOOKUP(B455,'2-Kosten per locatie'!$A$12:$C$23,3,FALSE)</f>
        <v>0</v>
      </c>
      <c r="Q455" s="74">
        <f t="shared" si="40"/>
        <v>0</v>
      </c>
      <c r="R455" s="75" t="str">
        <f>VLOOKUP(H455,'3-Productie normen'!A:L,12,FALSE)</f>
        <v>V</v>
      </c>
      <c r="S455" s="75"/>
      <c r="U455" s="41">
        <f t="shared" si="41"/>
        <v>5900</v>
      </c>
    </row>
    <row r="456" spans="1:21" ht="14.1" customHeight="1">
      <c r="A456" s="54">
        <f t="shared" si="42"/>
        <v>456</v>
      </c>
      <c r="B456" s="70" t="s">
        <v>423</v>
      </c>
      <c r="C456" s="70"/>
      <c r="D456" s="416" t="s">
        <v>424</v>
      </c>
      <c r="E456" s="416" t="s">
        <v>242</v>
      </c>
      <c r="F456" s="71" t="s">
        <v>501</v>
      </c>
      <c r="G456" s="40" t="s">
        <v>447</v>
      </c>
      <c r="H456" s="40" t="s">
        <v>240</v>
      </c>
      <c r="I456" s="40" t="s">
        <v>435</v>
      </c>
      <c r="J456" s="460">
        <v>58</v>
      </c>
      <c r="K456" s="371">
        <f t="shared" si="37"/>
        <v>200</v>
      </c>
      <c r="L456" s="72">
        <v>200</v>
      </c>
      <c r="M456" s="72"/>
      <c r="N456" s="73" t="e">
        <f t="shared" si="38"/>
        <v>#DIV/0!</v>
      </c>
      <c r="O456" s="73">
        <f t="shared" si="39"/>
        <v>0</v>
      </c>
      <c r="P456" s="74">
        <f>IF(L456="nio",0,IF(L456&gt;0,VLOOKUP(H456,'3-Productie normen'!A:J,VLOOKUP(L456,'3-Productie normen'!$B$33:$C$38,2,FALSE),FALSE)))/VLOOKUP(B456,'2-Kosten per locatie'!$A$12:$C$23,3,FALSE)</f>
        <v>0</v>
      </c>
      <c r="Q456" s="74">
        <f t="shared" si="40"/>
        <v>0</v>
      </c>
      <c r="R456" s="75" t="str">
        <f>VLOOKUP(H456,'3-Productie normen'!A:L,12,FALSE)</f>
        <v>V</v>
      </c>
      <c r="S456" s="75"/>
      <c r="U456" s="41">
        <f t="shared" si="41"/>
        <v>11600</v>
      </c>
    </row>
    <row r="457" spans="1:21" ht="14.1" customHeight="1">
      <c r="A457" s="54">
        <f t="shared" si="42"/>
        <v>457</v>
      </c>
      <c r="B457" s="70" t="s">
        <v>423</v>
      </c>
      <c r="C457" s="70"/>
      <c r="D457" s="416" t="s">
        <v>424</v>
      </c>
      <c r="E457" s="416" t="s">
        <v>242</v>
      </c>
      <c r="F457" s="71" t="s">
        <v>502</v>
      </c>
      <c r="G457" s="40" t="s">
        <v>447</v>
      </c>
      <c r="H457" s="40" t="s">
        <v>240</v>
      </c>
      <c r="I457" s="40" t="s">
        <v>435</v>
      </c>
      <c r="J457" s="460">
        <v>58</v>
      </c>
      <c r="K457" s="371">
        <f t="shared" si="37"/>
        <v>200</v>
      </c>
      <c r="L457" s="72">
        <v>200</v>
      </c>
      <c r="M457" s="72"/>
      <c r="N457" s="73" t="e">
        <f t="shared" si="38"/>
        <v>#DIV/0!</v>
      </c>
      <c r="O457" s="73">
        <f t="shared" si="39"/>
        <v>0</v>
      </c>
      <c r="P457" s="74">
        <f>IF(L457="nio",0,IF(L457&gt;0,VLOOKUP(H457,'3-Productie normen'!A:J,VLOOKUP(L457,'3-Productie normen'!$B$33:$C$38,2,FALSE),FALSE)))/VLOOKUP(B457,'2-Kosten per locatie'!$A$12:$C$23,3,FALSE)</f>
        <v>0</v>
      </c>
      <c r="Q457" s="74">
        <f t="shared" si="40"/>
        <v>0</v>
      </c>
      <c r="R457" s="75" t="str">
        <f>VLOOKUP(H457,'3-Productie normen'!A:L,12,FALSE)</f>
        <v>V</v>
      </c>
      <c r="S457" s="75"/>
      <c r="U457" s="41">
        <f t="shared" si="41"/>
        <v>11600</v>
      </c>
    </row>
    <row r="458" spans="1:21" ht="14.1" customHeight="1">
      <c r="A458" s="54">
        <f t="shared" si="42"/>
        <v>458</v>
      </c>
      <c r="B458" s="70" t="s">
        <v>423</v>
      </c>
      <c r="C458" s="70"/>
      <c r="D458" s="416" t="s">
        <v>424</v>
      </c>
      <c r="E458" s="416" t="s">
        <v>242</v>
      </c>
      <c r="F458" s="71" t="s">
        <v>503</v>
      </c>
      <c r="G458" s="40" t="s">
        <v>447</v>
      </c>
      <c r="H458" s="40" t="s">
        <v>240</v>
      </c>
      <c r="I458" s="40" t="s">
        <v>435</v>
      </c>
      <c r="J458" s="460">
        <v>58</v>
      </c>
      <c r="K458" s="371">
        <f t="shared" ref="K458:K521" si="43">SUM(L458:M458)</f>
        <v>200</v>
      </c>
      <c r="L458" s="72">
        <v>200</v>
      </c>
      <c r="M458" s="72"/>
      <c r="N458" s="73" t="e">
        <f t="shared" ref="N458:N521" si="44">IF(L458="nio",0,IF(L458&gt;0,L458*J458/P458,0))</f>
        <v>#DIV/0!</v>
      </c>
      <c r="O458" s="73">
        <f t="shared" ref="O458:O521" si="45">IF(M458&gt;0,M458*J458/Q458,0)</f>
        <v>0</v>
      </c>
      <c r="P458" s="74">
        <f>IF(L458="nio",0,IF(L458&gt;0,VLOOKUP(H458,'3-Productie normen'!A:J,VLOOKUP(L458,'3-Productie normen'!$B$33:$C$38,2,FALSE),FALSE)))/VLOOKUP(B458,'2-Kosten per locatie'!$A$12:$C$23,3,FALSE)</f>
        <v>0</v>
      </c>
      <c r="Q458" s="74">
        <f t="shared" ref="Q458:Q521" si="46">IF(M458&gt;0,P458*$Q$8,0)</f>
        <v>0</v>
      </c>
      <c r="R458" s="75" t="str">
        <f>VLOOKUP(H458,'3-Productie normen'!A:L,12,FALSE)</f>
        <v>V</v>
      </c>
      <c r="S458" s="75"/>
      <c r="U458" s="41">
        <f t="shared" ref="U458:U521" si="47">K458*J458</f>
        <v>11600</v>
      </c>
    </row>
    <row r="459" spans="1:21" ht="14.1" customHeight="1">
      <c r="A459" s="54">
        <f t="shared" si="42"/>
        <v>459</v>
      </c>
      <c r="B459" s="70" t="s">
        <v>423</v>
      </c>
      <c r="C459" s="70"/>
      <c r="D459" s="416" t="s">
        <v>424</v>
      </c>
      <c r="E459" s="416" t="s">
        <v>242</v>
      </c>
      <c r="F459" s="71" t="s">
        <v>504</v>
      </c>
      <c r="G459" s="40" t="s">
        <v>447</v>
      </c>
      <c r="H459" s="40" t="s">
        <v>240</v>
      </c>
      <c r="I459" s="40" t="s">
        <v>435</v>
      </c>
      <c r="J459" s="460">
        <v>58</v>
      </c>
      <c r="K459" s="371">
        <f t="shared" si="43"/>
        <v>200</v>
      </c>
      <c r="L459" s="72">
        <v>200</v>
      </c>
      <c r="M459" s="72"/>
      <c r="N459" s="73" t="e">
        <f t="shared" si="44"/>
        <v>#DIV/0!</v>
      </c>
      <c r="O459" s="73">
        <f t="shared" si="45"/>
        <v>0</v>
      </c>
      <c r="P459" s="74">
        <f>IF(L459="nio",0,IF(L459&gt;0,VLOOKUP(H459,'3-Productie normen'!A:J,VLOOKUP(L459,'3-Productie normen'!$B$33:$C$38,2,FALSE),FALSE)))/VLOOKUP(B459,'2-Kosten per locatie'!$A$12:$C$23,3,FALSE)</f>
        <v>0</v>
      </c>
      <c r="Q459" s="74">
        <f t="shared" si="46"/>
        <v>0</v>
      </c>
      <c r="R459" s="75" t="str">
        <f>VLOOKUP(H459,'3-Productie normen'!A:L,12,FALSE)</f>
        <v>V</v>
      </c>
      <c r="S459" s="75"/>
      <c r="U459" s="41">
        <f t="shared" si="47"/>
        <v>11600</v>
      </c>
    </row>
    <row r="460" spans="1:21" ht="14.1" customHeight="1">
      <c r="A460" s="54">
        <f t="shared" si="42"/>
        <v>460</v>
      </c>
      <c r="B460" s="70" t="s">
        <v>423</v>
      </c>
      <c r="C460" s="70"/>
      <c r="D460" s="416" t="s">
        <v>424</v>
      </c>
      <c r="E460" s="416" t="s">
        <v>242</v>
      </c>
      <c r="F460" s="71" t="s">
        <v>505</v>
      </c>
      <c r="G460" s="40" t="s">
        <v>506</v>
      </c>
      <c r="H460" s="40" t="s">
        <v>226</v>
      </c>
      <c r="I460" s="40" t="s">
        <v>426</v>
      </c>
      <c r="J460" s="460">
        <v>29.5</v>
      </c>
      <c r="K460" s="371">
        <f t="shared" si="43"/>
        <v>200</v>
      </c>
      <c r="L460" s="72">
        <v>200</v>
      </c>
      <c r="M460" s="72"/>
      <c r="N460" s="73" t="e">
        <f t="shared" si="44"/>
        <v>#DIV/0!</v>
      </c>
      <c r="O460" s="73">
        <f t="shared" si="45"/>
        <v>0</v>
      </c>
      <c r="P460" s="74">
        <f>IF(L460="nio",0,IF(L460&gt;0,VLOOKUP(H460,'3-Productie normen'!A:J,VLOOKUP(L460,'3-Productie normen'!$B$33:$C$38,2,FALSE),FALSE)))/VLOOKUP(B460,'2-Kosten per locatie'!$A$12:$C$23,3,FALSE)</f>
        <v>0</v>
      </c>
      <c r="Q460" s="74">
        <f t="shared" si="46"/>
        <v>0</v>
      </c>
      <c r="R460" s="75" t="str">
        <f>VLOOKUP(H460,'3-Productie normen'!A:L,12,FALSE)</f>
        <v>V</v>
      </c>
      <c r="S460" s="75"/>
      <c r="U460" s="41">
        <f t="shared" si="47"/>
        <v>5900</v>
      </c>
    </row>
    <row r="461" spans="1:21" ht="14.1" customHeight="1">
      <c r="A461" s="54">
        <f t="shared" si="42"/>
        <v>461</v>
      </c>
      <c r="B461" s="70" t="s">
        <v>423</v>
      </c>
      <c r="C461" s="70"/>
      <c r="D461" s="416" t="s">
        <v>424</v>
      </c>
      <c r="E461" s="416" t="s">
        <v>242</v>
      </c>
      <c r="F461" s="71" t="s">
        <v>507</v>
      </c>
      <c r="G461" s="40" t="s">
        <v>460</v>
      </c>
      <c r="H461" s="40" t="s">
        <v>17</v>
      </c>
      <c r="I461" s="40" t="s">
        <v>444</v>
      </c>
      <c r="J461" s="460">
        <v>1.2</v>
      </c>
      <c r="K461" s="371">
        <f t="shared" si="43"/>
        <v>200</v>
      </c>
      <c r="L461" s="72">
        <v>200</v>
      </c>
      <c r="M461" s="72"/>
      <c r="N461" s="73" t="e">
        <f t="shared" si="44"/>
        <v>#DIV/0!</v>
      </c>
      <c r="O461" s="73">
        <f t="shared" si="45"/>
        <v>0</v>
      </c>
      <c r="P461" s="74">
        <f>IF(L461="nio",0,IF(L461&gt;0,VLOOKUP(H461,'3-Productie normen'!A:J,VLOOKUP(L461,'3-Productie normen'!$B$33:$C$38,2,FALSE),FALSE)))/VLOOKUP(B461,'2-Kosten per locatie'!$A$12:$C$23,3,FALSE)</f>
        <v>0</v>
      </c>
      <c r="Q461" s="74">
        <f t="shared" si="46"/>
        <v>0</v>
      </c>
      <c r="R461" s="75" t="str">
        <f>VLOOKUP(H461,'3-Productie normen'!A:L,12,FALSE)</f>
        <v>S</v>
      </c>
      <c r="S461" s="75"/>
      <c r="U461" s="41">
        <f t="shared" si="47"/>
        <v>240</v>
      </c>
    </row>
    <row r="462" spans="1:21" ht="14.1" customHeight="1">
      <c r="A462" s="54">
        <f t="shared" si="42"/>
        <v>462</v>
      </c>
      <c r="B462" s="70" t="s">
        <v>423</v>
      </c>
      <c r="C462" s="70"/>
      <c r="D462" s="416" t="s">
        <v>424</v>
      </c>
      <c r="E462" s="416" t="s">
        <v>242</v>
      </c>
      <c r="F462" s="71" t="s">
        <v>508</v>
      </c>
      <c r="G462" s="40" t="s">
        <v>460</v>
      </c>
      <c r="H462" s="40" t="s">
        <v>17</v>
      </c>
      <c r="I462" s="40" t="s">
        <v>444</v>
      </c>
      <c r="J462" s="460">
        <v>1.2</v>
      </c>
      <c r="K462" s="371">
        <f t="shared" si="43"/>
        <v>200</v>
      </c>
      <c r="L462" s="72">
        <v>200</v>
      </c>
      <c r="M462" s="72"/>
      <c r="N462" s="73" t="e">
        <f t="shared" si="44"/>
        <v>#DIV/0!</v>
      </c>
      <c r="O462" s="73">
        <f t="shared" si="45"/>
        <v>0</v>
      </c>
      <c r="P462" s="74">
        <f>IF(L462="nio",0,IF(L462&gt;0,VLOOKUP(H462,'3-Productie normen'!A:J,VLOOKUP(L462,'3-Productie normen'!$B$33:$C$38,2,FALSE),FALSE)))/VLOOKUP(B462,'2-Kosten per locatie'!$A$12:$C$23,3,FALSE)</f>
        <v>0</v>
      </c>
      <c r="Q462" s="74">
        <f t="shared" si="46"/>
        <v>0</v>
      </c>
      <c r="R462" s="75" t="str">
        <f>VLOOKUP(H462,'3-Productie normen'!A:L,12,FALSE)</f>
        <v>S</v>
      </c>
      <c r="S462" s="75"/>
      <c r="U462" s="41">
        <f t="shared" si="47"/>
        <v>240</v>
      </c>
    </row>
    <row r="463" spans="1:21" ht="14.1" customHeight="1">
      <c r="A463" s="54">
        <f t="shared" si="42"/>
        <v>463</v>
      </c>
      <c r="B463" s="70" t="s">
        <v>423</v>
      </c>
      <c r="C463" s="70"/>
      <c r="D463" s="416" t="s">
        <v>424</v>
      </c>
      <c r="E463" s="416" t="s">
        <v>242</v>
      </c>
      <c r="F463" s="71" t="s">
        <v>509</v>
      </c>
      <c r="G463" s="40" t="s">
        <v>460</v>
      </c>
      <c r="H463" s="40" t="s">
        <v>17</v>
      </c>
      <c r="I463" s="40" t="s">
        <v>444</v>
      </c>
      <c r="J463" s="460">
        <v>1.2</v>
      </c>
      <c r="K463" s="371">
        <f t="shared" si="43"/>
        <v>200</v>
      </c>
      <c r="L463" s="72">
        <v>200</v>
      </c>
      <c r="M463" s="72"/>
      <c r="N463" s="73" t="e">
        <f t="shared" si="44"/>
        <v>#DIV/0!</v>
      </c>
      <c r="O463" s="73">
        <f t="shared" si="45"/>
        <v>0</v>
      </c>
      <c r="P463" s="74">
        <f>IF(L463="nio",0,IF(L463&gt;0,VLOOKUP(H463,'3-Productie normen'!A:J,VLOOKUP(L463,'3-Productie normen'!$B$33:$C$38,2,FALSE),FALSE)))/VLOOKUP(B463,'2-Kosten per locatie'!$A$12:$C$23,3,FALSE)</f>
        <v>0</v>
      </c>
      <c r="Q463" s="74">
        <f t="shared" si="46"/>
        <v>0</v>
      </c>
      <c r="R463" s="75" t="str">
        <f>VLOOKUP(H463,'3-Productie normen'!A:L,12,FALSE)</f>
        <v>S</v>
      </c>
      <c r="S463" s="75"/>
      <c r="U463" s="41">
        <f t="shared" si="47"/>
        <v>240</v>
      </c>
    </row>
    <row r="464" spans="1:21" ht="14.1" customHeight="1">
      <c r="A464" s="54">
        <f t="shared" si="42"/>
        <v>464</v>
      </c>
      <c r="B464" s="70" t="s">
        <v>423</v>
      </c>
      <c r="C464" s="70"/>
      <c r="D464" s="416" t="s">
        <v>424</v>
      </c>
      <c r="E464" s="416" t="s">
        <v>242</v>
      </c>
      <c r="F464" s="71" t="s">
        <v>510</v>
      </c>
      <c r="G464" s="40" t="s">
        <v>460</v>
      </c>
      <c r="H464" s="40" t="s">
        <v>17</v>
      </c>
      <c r="I464" s="40" t="s">
        <v>444</v>
      </c>
      <c r="J464" s="460">
        <v>1.2</v>
      </c>
      <c r="K464" s="371">
        <f t="shared" si="43"/>
        <v>200</v>
      </c>
      <c r="L464" s="72">
        <v>200</v>
      </c>
      <c r="M464" s="72"/>
      <c r="N464" s="73" t="e">
        <f t="shared" si="44"/>
        <v>#DIV/0!</v>
      </c>
      <c r="O464" s="73">
        <f t="shared" si="45"/>
        <v>0</v>
      </c>
      <c r="P464" s="74">
        <f>IF(L464="nio",0,IF(L464&gt;0,VLOOKUP(H464,'3-Productie normen'!A:J,VLOOKUP(L464,'3-Productie normen'!$B$33:$C$38,2,FALSE),FALSE)))/VLOOKUP(B464,'2-Kosten per locatie'!$A$12:$C$23,3,FALSE)</f>
        <v>0</v>
      </c>
      <c r="Q464" s="74">
        <f t="shared" si="46"/>
        <v>0</v>
      </c>
      <c r="R464" s="75" t="str">
        <f>VLOOKUP(H464,'3-Productie normen'!A:L,12,FALSE)</f>
        <v>S</v>
      </c>
      <c r="S464" s="75"/>
      <c r="U464" s="41">
        <f t="shared" si="47"/>
        <v>240</v>
      </c>
    </row>
    <row r="465" spans="1:21" ht="14.1" customHeight="1">
      <c r="A465" s="54">
        <f t="shared" si="42"/>
        <v>465</v>
      </c>
      <c r="B465" s="70" t="s">
        <v>423</v>
      </c>
      <c r="C465" s="70"/>
      <c r="D465" s="416" t="s">
        <v>424</v>
      </c>
      <c r="E465" s="416" t="s">
        <v>242</v>
      </c>
      <c r="F465" s="71" t="s">
        <v>511</v>
      </c>
      <c r="G465" s="70" t="s">
        <v>460</v>
      </c>
      <c r="H465" s="70" t="s">
        <v>17</v>
      </c>
      <c r="I465" s="40" t="s">
        <v>444</v>
      </c>
      <c r="J465" s="460">
        <v>1.2</v>
      </c>
      <c r="K465" s="371">
        <f t="shared" si="43"/>
        <v>200</v>
      </c>
      <c r="L465" s="72">
        <v>200</v>
      </c>
      <c r="M465" s="72"/>
      <c r="N465" s="73" t="e">
        <f t="shared" si="44"/>
        <v>#DIV/0!</v>
      </c>
      <c r="O465" s="73">
        <f t="shared" si="45"/>
        <v>0</v>
      </c>
      <c r="P465" s="74">
        <f>IF(L465="nio",0,IF(L465&gt;0,VLOOKUP(H465,'3-Productie normen'!A:J,VLOOKUP(L465,'3-Productie normen'!$B$33:$C$38,2,FALSE),FALSE)))/VLOOKUP(B465,'2-Kosten per locatie'!$A$12:$C$23,3,FALSE)</f>
        <v>0</v>
      </c>
      <c r="Q465" s="74">
        <f t="shared" si="46"/>
        <v>0</v>
      </c>
      <c r="R465" s="75" t="str">
        <f>VLOOKUP(H465,'3-Productie normen'!A:L,12,FALSE)</f>
        <v>S</v>
      </c>
      <c r="S465" s="75"/>
      <c r="U465" s="41">
        <f t="shared" si="47"/>
        <v>240</v>
      </c>
    </row>
    <row r="466" spans="1:21" ht="14.1" customHeight="1">
      <c r="A466" s="54">
        <f t="shared" si="42"/>
        <v>466</v>
      </c>
      <c r="B466" s="70" t="s">
        <v>423</v>
      </c>
      <c r="C466" s="70"/>
      <c r="D466" s="416" t="s">
        <v>424</v>
      </c>
      <c r="E466" s="416" t="s">
        <v>242</v>
      </c>
      <c r="F466" s="71" t="s">
        <v>512</v>
      </c>
      <c r="G466" s="70" t="s">
        <v>460</v>
      </c>
      <c r="H466" s="70" t="s">
        <v>17</v>
      </c>
      <c r="I466" s="40" t="s">
        <v>444</v>
      </c>
      <c r="J466" s="460">
        <v>1.2</v>
      </c>
      <c r="K466" s="371">
        <f t="shared" si="43"/>
        <v>200</v>
      </c>
      <c r="L466" s="72">
        <v>200</v>
      </c>
      <c r="M466" s="72"/>
      <c r="N466" s="73" t="e">
        <f t="shared" si="44"/>
        <v>#DIV/0!</v>
      </c>
      <c r="O466" s="73">
        <f t="shared" si="45"/>
        <v>0</v>
      </c>
      <c r="P466" s="74">
        <f>IF(L466="nio",0,IF(L466&gt;0,VLOOKUP(H466,'3-Productie normen'!A:J,VLOOKUP(L466,'3-Productie normen'!$B$33:$C$38,2,FALSE),FALSE)))/VLOOKUP(B466,'2-Kosten per locatie'!$A$12:$C$23,3,FALSE)</f>
        <v>0</v>
      </c>
      <c r="Q466" s="74">
        <f t="shared" si="46"/>
        <v>0</v>
      </c>
      <c r="R466" s="75" t="str">
        <f>VLOOKUP(H466,'3-Productie normen'!A:L,12,FALSE)</f>
        <v>S</v>
      </c>
      <c r="S466" s="75"/>
      <c r="U466" s="41">
        <f t="shared" si="47"/>
        <v>240</v>
      </c>
    </row>
    <row r="467" spans="1:21" ht="14.1" customHeight="1">
      <c r="A467" s="54">
        <f t="shared" si="42"/>
        <v>467</v>
      </c>
      <c r="B467" s="70" t="s">
        <v>423</v>
      </c>
      <c r="C467" s="70"/>
      <c r="D467" s="416" t="s">
        <v>424</v>
      </c>
      <c r="E467" s="416" t="s">
        <v>242</v>
      </c>
      <c r="F467" s="71" t="s">
        <v>513</v>
      </c>
      <c r="G467" s="70" t="s">
        <v>263</v>
      </c>
      <c r="H467" s="70" t="s">
        <v>101</v>
      </c>
      <c r="I467" s="40" t="s">
        <v>444</v>
      </c>
      <c r="J467" s="460">
        <v>3</v>
      </c>
      <c r="K467" s="371">
        <f t="shared" si="43"/>
        <v>0</v>
      </c>
      <c r="L467" s="72" t="s">
        <v>101</v>
      </c>
      <c r="M467" s="72"/>
      <c r="N467" s="73">
        <f t="shared" si="44"/>
        <v>0</v>
      </c>
      <c r="O467" s="73">
        <f t="shared" si="45"/>
        <v>0</v>
      </c>
      <c r="P467" s="74">
        <f>IF(L467="nio",0,IF(L467&gt;0,VLOOKUP(H467,'3-Productie normen'!A:J,VLOOKUP(L467,'3-Productie normen'!$B$33:$C$38,2,FALSE),FALSE)))/VLOOKUP(B467,'2-Kosten per locatie'!$A$12:$C$23,3,FALSE)</f>
        <v>0</v>
      </c>
      <c r="Q467" s="74">
        <f t="shared" si="46"/>
        <v>0</v>
      </c>
      <c r="R467" s="75">
        <f>VLOOKUP(H467,'3-Productie normen'!A:L,12,FALSE)</f>
        <v>0</v>
      </c>
      <c r="S467" s="75"/>
      <c r="U467" s="41">
        <f t="shared" si="47"/>
        <v>0</v>
      </c>
    </row>
    <row r="468" spans="1:21" ht="14.1" customHeight="1">
      <c r="A468" s="54">
        <f t="shared" si="42"/>
        <v>468</v>
      </c>
      <c r="B468" s="70" t="s">
        <v>423</v>
      </c>
      <c r="C468" s="70"/>
      <c r="D468" s="416" t="s">
        <v>424</v>
      </c>
      <c r="E468" s="416" t="s">
        <v>242</v>
      </c>
      <c r="F468" s="71" t="s">
        <v>514</v>
      </c>
      <c r="G468" s="40" t="s">
        <v>515</v>
      </c>
      <c r="H468" s="40" t="s">
        <v>232</v>
      </c>
      <c r="I468" s="40" t="s">
        <v>426</v>
      </c>
      <c r="J468" s="460">
        <v>27</v>
      </c>
      <c r="K468" s="371">
        <f t="shared" si="43"/>
        <v>200</v>
      </c>
      <c r="L468" s="72">
        <v>200</v>
      </c>
      <c r="M468" s="72"/>
      <c r="N468" s="73" t="e">
        <f t="shared" si="44"/>
        <v>#DIV/0!</v>
      </c>
      <c r="O468" s="73">
        <f t="shared" si="45"/>
        <v>0</v>
      </c>
      <c r="P468" s="74">
        <f>IF(L468="nio",0,IF(L468&gt;0,VLOOKUP(H468,'3-Productie normen'!A:J,VLOOKUP(L468,'3-Productie normen'!$B$33:$C$38,2,FALSE),FALSE)))/VLOOKUP(B468,'2-Kosten per locatie'!$A$12:$C$23,3,FALSE)</f>
        <v>0</v>
      </c>
      <c r="Q468" s="74">
        <f t="shared" si="46"/>
        <v>0</v>
      </c>
      <c r="R468" s="75" t="str">
        <f>VLOOKUP(H468,'3-Productie normen'!A:L,12,FALSE)</f>
        <v>V</v>
      </c>
      <c r="S468" s="75"/>
      <c r="U468" s="41">
        <f t="shared" si="47"/>
        <v>5400</v>
      </c>
    </row>
    <row r="469" spans="1:21" ht="14.1" customHeight="1">
      <c r="A469" s="54">
        <f t="shared" si="42"/>
        <v>469</v>
      </c>
      <c r="B469" s="70" t="s">
        <v>423</v>
      </c>
      <c r="C469" s="70"/>
      <c r="D469" s="416" t="s">
        <v>424</v>
      </c>
      <c r="E469" s="416" t="s">
        <v>242</v>
      </c>
      <c r="F469" s="71" t="s">
        <v>516</v>
      </c>
      <c r="G469" s="40" t="s">
        <v>217</v>
      </c>
      <c r="H469" s="40" t="s">
        <v>226</v>
      </c>
      <c r="I469" s="40" t="s">
        <v>426</v>
      </c>
      <c r="J469" s="460">
        <v>10.5</v>
      </c>
      <c r="K469" s="371">
        <f t="shared" si="43"/>
        <v>200</v>
      </c>
      <c r="L469" s="72">
        <v>200</v>
      </c>
      <c r="M469" s="72"/>
      <c r="N469" s="73" t="e">
        <f t="shared" si="44"/>
        <v>#DIV/0!</v>
      </c>
      <c r="O469" s="73">
        <f t="shared" si="45"/>
        <v>0</v>
      </c>
      <c r="P469" s="74">
        <f>IF(L469="nio",0,IF(L469&gt;0,VLOOKUP(H469,'3-Productie normen'!A:J,VLOOKUP(L469,'3-Productie normen'!$B$33:$C$38,2,FALSE),FALSE)))/VLOOKUP(B469,'2-Kosten per locatie'!$A$12:$C$23,3,FALSE)</f>
        <v>0</v>
      </c>
      <c r="Q469" s="74">
        <f t="shared" si="46"/>
        <v>0</v>
      </c>
      <c r="R469" s="75" t="str">
        <f>VLOOKUP(H469,'3-Productie normen'!A:L,12,FALSE)</f>
        <v>V</v>
      </c>
      <c r="S469" s="75"/>
      <c r="U469" s="41">
        <f t="shared" si="47"/>
        <v>2100</v>
      </c>
    </row>
    <row r="470" spans="1:21" ht="14.1" customHeight="1">
      <c r="A470" s="54">
        <f t="shared" si="42"/>
        <v>470</v>
      </c>
      <c r="B470" s="70" t="s">
        <v>423</v>
      </c>
      <c r="C470" s="70"/>
      <c r="D470" s="416" t="s">
        <v>424</v>
      </c>
      <c r="E470" s="416" t="s">
        <v>242</v>
      </c>
      <c r="F470" s="71" t="s">
        <v>517</v>
      </c>
      <c r="G470" s="40" t="s">
        <v>434</v>
      </c>
      <c r="H470" s="40" t="s">
        <v>231</v>
      </c>
      <c r="I470" s="40" t="s">
        <v>435</v>
      </c>
      <c r="J470" s="460">
        <v>12</v>
      </c>
      <c r="K470" s="371">
        <f t="shared" si="43"/>
        <v>200</v>
      </c>
      <c r="L470" s="72">
        <v>200</v>
      </c>
      <c r="M470" s="72"/>
      <c r="N470" s="73" t="e">
        <f t="shared" si="44"/>
        <v>#DIV/0!</v>
      </c>
      <c r="O470" s="73">
        <f t="shared" si="45"/>
        <v>0</v>
      </c>
      <c r="P470" s="74">
        <f>IF(L470="nio",0,IF(L470&gt;0,VLOOKUP(H470,'3-Productie normen'!A:J,VLOOKUP(L470,'3-Productie normen'!$B$33:$C$38,2,FALSE),FALSE)))/VLOOKUP(B470,'2-Kosten per locatie'!$A$12:$C$23,3,FALSE)</f>
        <v>0</v>
      </c>
      <c r="Q470" s="74">
        <f t="shared" si="46"/>
        <v>0</v>
      </c>
      <c r="R470" s="75" t="str">
        <f>VLOOKUP(H470,'3-Productie normen'!A:L,12,FALSE)</f>
        <v>L</v>
      </c>
      <c r="S470" s="75"/>
      <c r="U470" s="41">
        <f t="shared" si="47"/>
        <v>2400</v>
      </c>
    </row>
    <row r="471" spans="1:21" ht="14.1" customHeight="1">
      <c r="A471" s="54">
        <f t="shared" si="42"/>
        <v>471</v>
      </c>
      <c r="B471" s="70" t="s">
        <v>423</v>
      </c>
      <c r="C471" s="70"/>
      <c r="D471" s="416" t="s">
        <v>424</v>
      </c>
      <c r="E471" s="416" t="s">
        <v>242</v>
      </c>
      <c r="F471" s="71" t="s">
        <v>518</v>
      </c>
      <c r="G471" s="40" t="s">
        <v>434</v>
      </c>
      <c r="H471" s="40" t="s">
        <v>231</v>
      </c>
      <c r="I471" s="40" t="s">
        <v>435</v>
      </c>
      <c r="J471" s="460">
        <v>8</v>
      </c>
      <c r="K471" s="371">
        <f t="shared" si="43"/>
        <v>200</v>
      </c>
      <c r="L471" s="72">
        <v>200</v>
      </c>
      <c r="M471" s="72"/>
      <c r="N471" s="73" t="e">
        <f t="shared" si="44"/>
        <v>#DIV/0!</v>
      </c>
      <c r="O471" s="73">
        <f t="shared" si="45"/>
        <v>0</v>
      </c>
      <c r="P471" s="74">
        <f>IF(L471="nio",0,IF(L471&gt;0,VLOOKUP(H471,'3-Productie normen'!A:J,VLOOKUP(L471,'3-Productie normen'!$B$33:$C$38,2,FALSE),FALSE)))/VLOOKUP(B471,'2-Kosten per locatie'!$A$12:$C$23,3,FALSE)</f>
        <v>0</v>
      </c>
      <c r="Q471" s="74">
        <f t="shared" si="46"/>
        <v>0</v>
      </c>
      <c r="R471" s="75" t="str">
        <f>VLOOKUP(H471,'3-Productie normen'!A:L,12,FALSE)</f>
        <v>L</v>
      </c>
      <c r="S471" s="75"/>
      <c r="U471" s="41">
        <f t="shared" si="47"/>
        <v>1600</v>
      </c>
    </row>
    <row r="472" spans="1:21" ht="14.1" customHeight="1">
      <c r="A472" s="54">
        <f t="shared" si="42"/>
        <v>472</v>
      </c>
      <c r="B472" s="70" t="s">
        <v>423</v>
      </c>
      <c r="C472" s="70"/>
      <c r="D472" s="416" t="s">
        <v>424</v>
      </c>
      <c r="E472" s="416" t="s">
        <v>242</v>
      </c>
      <c r="F472" s="71" t="s">
        <v>519</v>
      </c>
      <c r="G472" s="77" t="s">
        <v>434</v>
      </c>
      <c r="H472" s="77" t="s">
        <v>231</v>
      </c>
      <c r="I472" s="40" t="s">
        <v>435</v>
      </c>
      <c r="J472" s="460">
        <v>19</v>
      </c>
      <c r="K472" s="371">
        <f t="shared" si="43"/>
        <v>200</v>
      </c>
      <c r="L472" s="72">
        <v>200</v>
      </c>
      <c r="M472" s="72"/>
      <c r="N472" s="73" t="e">
        <f t="shared" si="44"/>
        <v>#DIV/0!</v>
      </c>
      <c r="O472" s="73">
        <f t="shared" si="45"/>
        <v>0</v>
      </c>
      <c r="P472" s="74">
        <f>IF(L472="nio",0,IF(L472&gt;0,VLOOKUP(H472,'3-Productie normen'!A:J,VLOOKUP(L472,'3-Productie normen'!$B$33:$C$38,2,FALSE),FALSE)))/VLOOKUP(B472,'2-Kosten per locatie'!$A$12:$C$23,3,FALSE)</f>
        <v>0</v>
      </c>
      <c r="Q472" s="74">
        <f t="shared" si="46"/>
        <v>0</v>
      </c>
      <c r="R472" s="75" t="str">
        <f>VLOOKUP(H472,'3-Productie normen'!A:L,12,FALSE)</f>
        <v>L</v>
      </c>
      <c r="S472" s="75"/>
      <c r="U472" s="41">
        <f t="shared" si="47"/>
        <v>3800</v>
      </c>
    </row>
    <row r="473" spans="1:21" ht="14.1" customHeight="1">
      <c r="A473" s="54">
        <f t="shared" si="42"/>
        <v>473</v>
      </c>
      <c r="B473" s="70" t="s">
        <v>423</v>
      </c>
      <c r="C473" s="70"/>
      <c r="D473" s="416" t="s">
        <v>424</v>
      </c>
      <c r="E473" s="416" t="s">
        <v>242</v>
      </c>
      <c r="F473" s="71" t="s">
        <v>520</v>
      </c>
      <c r="G473" s="40" t="s">
        <v>434</v>
      </c>
      <c r="H473" s="40" t="s">
        <v>231</v>
      </c>
      <c r="I473" s="78" t="s">
        <v>435</v>
      </c>
      <c r="J473" s="460">
        <v>51</v>
      </c>
      <c r="K473" s="371">
        <f t="shared" si="43"/>
        <v>200</v>
      </c>
      <c r="L473" s="72">
        <v>200</v>
      </c>
      <c r="M473" s="72"/>
      <c r="N473" s="73" t="e">
        <f t="shared" si="44"/>
        <v>#DIV/0!</v>
      </c>
      <c r="O473" s="73">
        <f t="shared" si="45"/>
        <v>0</v>
      </c>
      <c r="P473" s="74">
        <f>IF(L473="nio",0,IF(L473&gt;0,VLOOKUP(H473,'3-Productie normen'!A:J,VLOOKUP(L473,'3-Productie normen'!$B$33:$C$38,2,FALSE),FALSE)))/VLOOKUP(B473,'2-Kosten per locatie'!$A$12:$C$23,3,FALSE)</f>
        <v>0</v>
      </c>
      <c r="Q473" s="74">
        <f t="shared" si="46"/>
        <v>0</v>
      </c>
      <c r="R473" s="75" t="str">
        <f>VLOOKUP(H473,'3-Productie normen'!A:L,12,FALSE)</f>
        <v>L</v>
      </c>
      <c r="S473" s="75"/>
      <c r="U473" s="41">
        <f t="shared" si="47"/>
        <v>10200</v>
      </c>
    </row>
    <row r="474" spans="1:21" ht="14.1" customHeight="1">
      <c r="A474" s="54">
        <f t="shared" si="42"/>
        <v>474</v>
      </c>
      <c r="B474" s="70" t="s">
        <v>423</v>
      </c>
      <c r="C474" s="70"/>
      <c r="D474" s="417" t="s">
        <v>424</v>
      </c>
      <c r="E474" s="417" t="s">
        <v>242</v>
      </c>
      <c r="F474" s="79" t="s">
        <v>521</v>
      </c>
      <c r="G474" s="80" t="s">
        <v>522</v>
      </c>
      <c r="H474" s="80" t="s">
        <v>101</v>
      </c>
      <c r="I474" s="40" t="s">
        <v>93</v>
      </c>
      <c r="J474" s="460">
        <v>13</v>
      </c>
      <c r="K474" s="371">
        <f t="shared" si="43"/>
        <v>0</v>
      </c>
      <c r="L474" s="72" t="s">
        <v>101</v>
      </c>
      <c r="M474" s="72"/>
      <c r="N474" s="73">
        <f t="shared" si="44"/>
        <v>0</v>
      </c>
      <c r="O474" s="73">
        <f t="shared" si="45"/>
        <v>0</v>
      </c>
      <c r="P474" s="74">
        <f>IF(L474="nio",0,IF(L474&gt;0,VLOOKUP(H474,'3-Productie normen'!A:J,VLOOKUP(L474,'3-Productie normen'!$B$33:$C$38,2,FALSE),FALSE)))/VLOOKUP(B474,'2-Kosten per locatie'!$A$12:$C$23,3,FALSE)</f>
        <v>0</v>
      </c>
      <c r="Q474" s="74">
        <f t="shared" si="46"/>
        <v>0</v>
      </c>
      <c r="R474" s="75">
        <f>VLOOKUP(H474,'3-Productie normen'!A:L,12,FALSE)</f>
        <v>0</v>
      </c>
      <c r="S474" s="75"/>
      <c r="U474" s="41">
        <f t="shared" si="47"/>
        <v>0</v>
      </c>
    </row>
    <row r="475" spans="1:21" ht="14.1" customHeight="1">
      <c r="A475" s="54">
        <f t="shared" si="42"/>
        <v>475</v>
      </c>
      <c r="B475" s="70" t="s">
        <v>423</v>
      </c>
      <c r="C475" s="70"/>
      <c r="D475" s="416" t="s">
        <v>424</v>
      </c>
      <c r="E475" s="416" t="s">
        <v>242</v>
      </c>
      <c r="F475" s="71" t="s">
        <v>523</v>
      </c>
      <c r="G475" s="40" t="s">
        <v>524</v>
      </c>
      <c r="H475" s="40" t="s">
        <v>101</v>
      </c>
      <c r="I475" s="40" t="s">
        <v>525</v>
      </c>
      <c r="J475" s="460">
        <v>240</v>
      </c>
      <c r="K475" s="371">
        <f t="shared" si="43"/>
        <v>0</v>
      </c>
      <c r="L475" s="72" t="s">
        <v>101</v>
      </c>
      <c r="M475" s="72"/>
      <c r="N475" s="73">
        <f t="shared" si="44"/>
        <v>0</v>
      </c>
      <c r="O475" s="73">
        <f t="shared" si="45"/>
        <v>0</v>
      </c>
      <c r="P475" s="74">
        <f>IF(L475="nio",0,IF(L475&gt;0,VLOOKUP(H475,'3-Productie normen'!A:J,VLOOKUP(L475,'3-Productie normen'!$B$33:$C$38,2,FALSE),FALSE)))/VLOOKUP(B475,'2-Kosten per locatie'!$A$12:$C$23,3,FALSE)</f>
        <v>0</v>
      </c>
      <c r="Q475" s="74">
        <f t="shared" si="46"/>
        <v>0</v>
      </c>
      <c r="R475" s="75">
        <f>VLOOKUP(H475,'3-Productie normen'!A:L,12,FALSE)</f>
        <v>0</v>
      </c>
      <c r="S475" s="75"/>
      <c r="U475" s="41">
        <f t="shared" si="47"/>
        <v>0</v>
      </c>
    </row>
    <row r="476" spans="1:21" ht="14.1" customHeight="1">
      <c r="A476" s="54">
        <f t="shared" si="42"/>
        <v>476</v>
      </c>
      <c r="B476" s="70" t="s">
        <v>423</v>
      </c>
      <c r="C476" s="70"/>
      <c r="D476" s="416" t="s">
        <v>424</v>
      </c>
      <c r="E476" s="416" t="s">
        <v>242</v>
      </c>
      <c r="F476" s="71" t="s">
        <v>526</v>
      </c>
      <c r="G476" s="40" t="s">
        <v>268</v>
      </c>
      <c r="H476" s="40" t="s">
        <v>232</v>
      </c>
      <c r="I476" s="40" t="s">
        <v>426</v>
      </c>
      <c r="J476" s="460">
        <v>55.6</v>
      </c>
      <c r="K476" s="371">
        <f t="shared" si="43"/>
        <v>200</v>
      </c>
      <c r="L476" s="72">
        <v>200</v>
      </c>
      <c r="M476" s="72"/>
      <c r="N476" s="73" t="e">
        <f t="shared" si="44"/>
        <v>#DIV/0!</v>
      </c>
      <c r="O476" s="73">
        <f t="shared" si="45"/>
        <v>0</v>
      </c>
      <c r="P476" s="74">
        <f>IF(L476="nio",0,IF(L476&gt;0,VLOOKUP(H476,'3-Productie normen'!A:J,VLOOKUP(L476,'3-Productie normen'!$B$33:$C$38,2,FALSE),FALSE)))/VLOOKUP(B476,'2-Kosten per locatie'!$A$12:$C$23,3,FALSE)</f>
        <v>0</v>
      </c>
      <c r="Q476" s="74">
        <f t="shared" si="46"/>
        <v>0</v>
      </c>
      <c r="R476" s="75" t="str">
        <f>VLOOKUP(H476,'3-Productie normen'!A:L,12,FALSE)</f>
        <v>V</v>
      </c>
      <c r="S476" s="75"/>
      <c r="U476" s="41">
        <f t="shared" si="47"/>
        <v>11120</v>
      </c>
    </row>
    <row r="477" spans="1:21" ht="14.1" customHeight="1">
      <c r="A477" s="54">
        <f t="shared" si="42"/>
        <v>477</v>
      </c>
      <c r="B477" s="70" t="s">
        <v>527</v>
      </c>
      <c r="C477" s="70"/>
      <c r="D477" s="416" t="s">
        <v>528</v>
      </c>
      <c r="E477" s="416" t="s">
        <v>89</v>
      </c>
      <c r="F477" s="71" t="s">
        <v>439</v>
      </c>
      <c r="G477" s="40" t="s">
        <v>529</v>
      </c>
      <c r="H477" s="40" t="s">
        <v>90</v>
      </c>
      <c r="I477" s="40" t="s">
        <v>207</v>
      </c>
      <c r="J477" s="460">
        <v>5</v>
      </c>
      <c r="K477" s="371">
        <f t="shared" si="43"/>
        <v>200</v>
      </c>
      <c r="L477" s="72">
        <v>200</v>
      </c>
      <c r="M477" s="72"/>
      <c r="N477" s="73" t="e">
        <f t="shared" si="44"/>
        <v>#DIV/0!</v>
      </c>
      <c r="O477" s="73">
        <f t="shared" si="45"/>
        <v>0</v>
      </c>
      <c r="P477" s="74">
        <f>IF(L477="nio",0,IF(L477&gt;0,VLOOKUP(H477,'3-Productie normen'!A:J,VLOOKUP(L477,'3-Productie normen'!$B$33:$C$38,2,FALSE),FALSE)))/VLOOKUP(B477,'2-Kosten per locatie'!$A$12:$C$23,3,FALSE)</f>
        <v>0</v>
      </c>
      <c r="Q477" s="74">
        <f t="shared" si="46"/>
        <v>0</v>
      </c>
      <c r="R477" s="75" t="str">
        <f>VLOOKUP(H477,'3-Productie normen'!A:L,12,FALSE)</f>
        <v>V</v>
      </c>
      <c r="S477" s="75"/>
      <c r="U477" s="41">
        <f t="shared" si="47"/>
        <v>1000</v>
      </c>
    </row>
    <row r="478" spans="1:21" ht="14.1" customHeight="1">
      <c r="A478" s="54">
        <f t="shared" si="42"/>
        <v>478</v>
      </c>
      <c r="B478" s="70" t="s">
        <v>527</v>
      </c>
      <c r="C478" s="70"/>
      <c r="D478" s="416" t="s">
        <v>528</v>
      </c>
      <c r="E478" s="416" t="s">
        <v>89</v>
      </c>
      <c r="F478" s="71" t="s">
        <v>441</v>
      </c>
      <c r="G478" s="40" t="s">
        <v>530</v>
      </c>
      <c r="H478" s="40" t="s">
        <v>232</v>
      </c>
      <c r="I478" s="40" t="s">
        <v>346</v>
      </c>
      <c r="J478" s="460">
        <v>10.3</v>
      </c>
      <c r="K478" s="371">
        <f t="shared" si="43"/>
        <v>200</v>
      </c>
      <c r="L478" s="72">
        <v>200</v>
      </c>
      <c r="M478" s="72"/>
      <c r="N478" s="73" t="e">
        <f t="shared" si="44"/>
        <v>#DIV/0!</v>
      </c>
      <c r="O478" s="73">
        <f t="shared" si="45"/>
        <v>0</v>
      </c>
      <c r="P478" s="74">
        <f>IF(L478="nio",0,IF(L478&gt;0,VLOOKUP(H478,'3-Productie normen'!A:J,VLOOKUP(L478,'3-Productie normen'!$B$33:$C$38,2,FALSE),FALSE)))/VLOOKUP(B478,'2-Kosten per locatie'!$A$12:$C$23,3,FALSE)</f>
        <v>0</v>
      </c>
      <c r="Q478" s="74">
        <f t="shared" si="46"/>
        <v>0</v>
      </c>
      <c r="R478" s="75" t="str">
        <f>VLOOKUP(H478,'3-Productie normen'!A:L,12,FALSE)</f>
        <v>V</v>
      </c>
      <c r="S478" s="75"/>
      <c r="U478" s="41">
        <f t="shared" si="47"/>
        <v>2060</v>
      </c>
    </row>
    <row r="479" spans="1:21" ht="14.1" customHeight="1">
      <c r="A479" s="54">
        <f t="shared" si="42"/>
        <v>479</v>
      </c>
      <c r="B479" s="70" t="s">
        <v>527</v>
      </c>
      <c r="C479" s="70"/>
      <c r="D479" s="416" t="s">
        <v>528</v>
      </c>
      <c r="E479" s="416" t="s">
        <v>89</v>
      </c>
      <c r="F479" s="71" t="s">
        <v>442</v>
      </c>
      <c r="G479" s="40" t="s">
        <v>531</v>
      </c>
      <c r="H479" s="40" t="s">
        <v>176</v>
      </c>
      <c r="I479" s="40" t="s">
        <v>91</v>
      </c>
      <c r="J479" s="460">
        <v>13.3</v>
      </c>
      <c r="K479" s="371">
        <f t="shared" si="43"/>
        <v>200</v>
      </c>
      <c r="L479" s="72">
        <v>200</v>
      </c>
      <c r="M479" s="72"/>
      <c r="N479" s="73" t="e">
        <f t="shared" si="44"/>
        <v>#DIV/0!</v>
      </c>
      <c r="O479" s="73">
        <f t="shared" si="45"/>
        <v>0</v>
      </c>
      <c r="P479" s="74">
        <f>IF(L479="nio",0,IF(L479&gt;0,VLOOKUP(H479,'3-Productie normen'!A:J,VLOOKUP(L479,'3-Productie normen'!$B$33:$C$38,2,FALSE),FALSE)))/VLOOKUP(B479,'2-Kosten per locatie'!$A$12:$C$23,3,FALSE)</f>
        <v>0</v>
      </c>
      <c r="Q479" s="74">
        <f t="shared" si="46"/>
        <v>0</v>
      </c>
      <c r="R479" s="75" t="str">
        <f>VLOOKUP(H479,'3-Productie normen'!A:L,12,FALSE)</f>
        <v>B</v>
      </c>
      <c r="S479" s="75"/>
      <c r="U479" s="41">
        <f t="shared" si="47"/>
        <v>2660</v>
      </c>
    </row>
    <row r="480" spans="1:21" ht="14.1" customHeight="1">
      <c r="A480" s="54">
        <f t="shared" si="42"/>
        <v>480</v>
      </c>
      <c r="B480" s="70" t="s">
        <v>527</v>
      </c>
      <c r="C480" s="70"/>
      <c r="D480" s="416" t="s">
        <v>528</v>
      </c>
      <c r="E480" s="416" t="s">
        <v>89</v>
      </c>
      <c r="F480" s="71" t="s">
        <v>445</v>
      </c>
      <c r="G480" s="70" t="s">
        <v>532</v>
      </c>
      <c r="H480" s="70" t="s">
        <v>533</v>
      </c>
      <c r="I480" s="40"/>
      <c r="J480" s="460">
        <v>0</v>
      </c>
      <c r="K480" s="371">
        <f t="shared" si="43"/>
        <v>0</v>
      </c>
      <c r="L480" s="449" t="s">
        <v>348</v>
      </c>
      <c r="M480" s="72"/>
      <c r="N480" s="73">
        <f t="shared" si="44"/>
        <v>0</v>
      </c>
      <c r="O480" s="73">
        <f t="shared" si="45"/>
        <v>0</v>
      </c>
      <c r="P480" s="74">
        <f>IF(L480="nio",0,IF(L480&gt;0,VLOOKUP(H480,'3-Productie normen'!A:J,VLOOKUP(L480,'3-Productie normen'!$B$33:$C$38,2,FALSE),FALSE)))/VLOOKUP(B480,'2-Kosten per locatie'!$A$12:$C$23,3,FALSE)</f>
        <v>0</v>
      </c>
      <c r="Q480" s="74">
        <f t="shared" si="46"/>
        <v>0</v>
      </c>
      <c r="R480" s="75">
        <f>VLOOKUP(H480,'3-Productie normen'!A:L,12,FALSE)</f>
        <v>0</v>
      </c>
      <c r="S480" s="75"/>
      <c r="U480" s="41">
        <f t="shared" si="47"/>
        <v>0</v>
      </c>
    </row>
    <row r="481" spans="1:21" ht="14.1" customHeight="1">
      <c r="A481" s="54">
        <f t="shared" si="42"/>
        <v>481</v>
      </c>
      <c r="B481" s="70" t="s">
        <v>527</v>
      </c>
      <c r="C481" s="70"/>
      <c r="D481" s="416" t="s">
        <v>528</v>
      </c>
      <c r="E481" s="416" t="s">
        <v>89</v>
      </c>
      <c r="F481" s="71" t="s">
        <v>446</v>
      </c>
      <c r="G481" s="70" t="s">
        <v>534</v>
      </c>
      <c r="H481" s="70" t="s">
        <v>232</v>
      </c>
      <c r="I481" s="40" t="s">
        <v>92</v>
      </c>
      <c r="J481" s="460">
        <v>21.47</v>
      </c>
      <c r="K481" s="371">
        <f t="shared" si="43"/>
        <v>200</v>
      </c>
      <c r="L481" s="72">
        <v>200</v>
      </c>
      <c r="M481" s="72"/>
      <c r="N481" s="73" t="e">
        <f t="shared" si="44"/>
        <v>#DIV/0!</v>
      </c>
      <c r="O481" s="73">
        <f t="shared" si="45"/>
        <v>0</v>
      </c>
      <c r="P481" s="74">
        <f>IF(L481="nio",0,IF(L481&gt;0,VLOOKUP(H481,'3-Productie normen'!A:J,VLOOKUP(L481,'3-Productie normen'!$B$33:$C$38,2,FALSE),FALSE)))/VLOOKUP(B481,'2-Kosten per locatie'!$A$12:$C$23,3,FALSE)</f>
        <v>0</v>
      </c>
      <c r="Q481" s="74">
        <f t="shared" si="46"/>
        <v>0</v>
      </c>
      <c r="R481" s="75" t="str">
        <f>VLOOKUP(H481,'3-Productie normen'!A:L,12,FALSE)</f>
        <v>V</v>
      </c>
      <c r="S481" s="75"/>
      <c r="U481" s="41">
        <f t="shared" si="47"/>
        <v>4294</v>
      </c>
    </row>
    <row r="482" spans="1:21" ht="14.1" customHeight="1">
      <c r="A482" s="54">
        <f t="shared" si="42"/>
        <v>482</v>
      </c>
      <c r="B482" s="70" t="s">
        <v>527</v>
      </c>
      <c r="C482" s="70"/>
      <c r="D482" s="416" t="s">
        <v>528</v>
      </c>
      <c r="E482" s="416" t="s">
        <v>89</v>
      </c>
      <c r="F482" s="71" t="s">
        <v>300</v>
      </c>
      <c r="G482" s="70" t="s">
        <v>535</v>
      </c>
      <c r="H482" s="70" t="s">
        <v>232</v>
      </c>
      <c r="I482" s="40" t="s">
        <v>91</v>
      </c>
      <c r="J482" s="460">
        <v>10.64</v>
      </c>
      <c r="K482" s="371">
        <f t="shared" si="43"/>
        <v>200</v>
      </c>
      <c r="L482" s="72">
        <v>200</v>
      </c>
      <c r="M482" s="72"/>
      <c r="N482" s="73" t="e">
        <f t="shared" si="44"/>
        <v>#DIV/0!</v>
      </c>
      <c r="O482" s="73">
        <f t="shared" si="45"/>
        <v>0</v>
      </c>
      <c r="P482" s="74">
        <f>IF(L482="nio",0,IF(L482&gt;0,VLOOKUP(H482,'3-Productie normen'!A:J,VLOOKUP(L482,'3-Productie normen'!$B$33:$C$38,2,FALSE),FALSE)))/VLOOKUP(B482,'2-Kosten per locatie'!$A$12:$C$23,3,FALSE)</f>
        <v>0</v>
      </c>
      <c r="Q482" s="74">
        <f t="shared" si="46"/>
        <v>0</v>
      </c>
      <c r="R482" s="75" t="str">
        <f>VLOOKUP(H482,'3-Productie normen'!A:L,12,FALSE)</f>
        <v>V</v>
      </c>
      <c r="S482" s="75"/>
      <c r="U482" s="41">
        <f t="shared" si="47"/>
        <v>2128</v>
      </c>
    </row>
    <row r="483" spans="1:21" ht="14.1" customHeight="1">
      <c r="A483" s="54">
        <f t="shared" si="42"/>
        <v>483</v>
      </c>
      <c r="B483" s="70" t="s">
        <v>527</v>
      </c>
      <c r="C483" s="70"/>
      <c r="D483" s="416" t="s">
        <v>528</v>
      </c>
      <c r="E483" s="416" t="s">
        <v>89</v>
      </c>
      <c r="F483" s="71" t="s">
        <v>301</v>
      </c>
      <c r="G483" s="40" t="s">
        <v>458</v>
      </c>
      <c r="H483" s="40" t="s">
        <v>232</v>
      </c>
      <c r="I483" s="40" t="s">
        <v>536</v>
      </c>
      <c r="J483" s="460">
        <v>17.010000000000002</v>
      </c>
      <c r="K483" s="371">
        <f t="shared" si="43"/>
        <v>200</v>
      </c>
      <c r="L483" s="72">
        <v>200</v>
      </c>
      <c r="M483" s="72"/>
      <c r="N483" s="73" t="e">
        <f t="shared" si="44"/>
        <v>#DIV/0!</v>
      </c>
      <c r="O483" s="73">
        <f t="shared" si="45"/>
        <v>0</v>
      </c>
      <c r="P483" s="74">
        <f>IF(L483="nio",0,IF(L483&gt;0,VLOOKUP(H483,'3-Productie normen'!A:J,VLOOKUP(L483,'3-Productie normen'!$B$33:$C$38,2,FALSE),FALSE)))/VLOOKUP(B483,'2-Kosten per locatie'!$A$12:$C$23,3,FALSE)</f>
        <v>0</v>
      </c>
      <c r="Q483" s="74">
        <f t="shared" si="46"/>
        <v>0</v>
      </c>
      <c r="R483" s="75" t="str">
        <f>VLOOKUP(H483,'3-Productie normen'!A:L,12,FALSE)</f>
        <v>V</v>
      </c>
      <c r="S483" s="75"/>
      <c r="U483" s="41">
        <f t="shared" si="47"/>
        <v>3402.0000000000005</v>
      </c>
    </row>
    <row r="484" spans="1:21" ht="14.1" customHeight="1">
      <c r="A484" s="54">
        <f t="shared" si="42"/>
        <v>484</v>
      </c>
      <c r="B484" s="70" t="s">
        <v>527</v>
      </c>
      <c r="C484" s="70"/>
      <c r="D484" s="416" t="s">
        <v>528</v>
      </c>
      <c r="E484" s="416" t="s">
        <v>89</v>
      </c>
      <c r="F484" s="71" t="s">
        <v>302</v>
      </c>
      <c r="G484" s="40" t="s">
        <v>537</v>
      </c>
      <c r="H484" s="40" t="s">
        <v>17</v>
      </c>
      <c r="I484" s="40" t="s">
        <v>536</v>
      </c>
      <c r="J484" s="460">
        <v>5.16</v>
      </c>
      <c r="K484" s="371">
        <f t="shared" si="43"/>
        <v>200</v>
      </c>
      <c r="L484" s="72">
        <v>200</v>
      </c>
      <c r="M484" s="72"/>
      <c r="N484" s="73" t="e">
        <f t="shared" si="44"/>
        <v>#DIV/0!</v>
      </c>
      <c r="O484" s="73">
        <f t="shared" si="45"/>
        <v>0</v>
      </c>
      <c r="P484" s="74">
        <f>IF(L484="nio",0,IF(L484&gt;0,VLOOKUP(H484,'3-Productie normen'!A:J,VLOOKUP(L484,'3-Productie normen'!$B$33:$C$38,2,FALSE),FALSE)))/VLOOKUP(B484,'2-Kosten per locatie'!$A$12:$C$23,3,FALSE)</f>
        <v>0</v>
      </c>
      <c r="Q484" s="74">
        <f t="shared" si="46"/>
        <v>0</v>
      </c>
      <c r="R484" s="75" t="str">
        <f>VLOOKUP(H484,'3-Productie normen'!A:L,12,FALSE)</f>
        <v>S</v>
      </c>
      <c r="S484" s="75"/>
      <c r="U484" s="41">
        <f t="shared" si="47"/>
        <v>1032</v>
      </c>
    </row>
    <row r="485" spans="1:21" ht="14.1" customHeight="1">
      <c r="A485" s="54">
        <f t="shared" si="42"/>
        <v>485</v>
      </c>
      <c r="B485" s="70" t="s">
        <v>527</v>
      </c>
      <c r="C485" s="70"/>
      <c r="D485" s="416" t="s">
        <v>528</v>
      </c>
      <c r="E485" s="416" t="s">
        <v>89</v>
      </c>
      <c r="F485" s="71" t="s">
        <v>303</v>
      </c>
      <c r="G485" s="40" t="s">
        <v>244</v>
      </c>
      <c r="H485" s="40" t="s">
        <v>244</v>
      </c>
      <c r="I485" s="40" t="s">
        <v>538</v>
      </c>
      <c r="J485" s="460">
        <v>16.3</v>
      </c>
      <c r="K485" s="371">
        <f t="shared" si="43"/>
        <v>200</v>
      </c>
      <c r="L485" s="72">
        <v>200</v>
      </c>
      <c r="M485" s="72"/>
      <c r="N485" s="73" t="e">
        <f t="shared" si="44"/>
        <v>#DIV/0!</v>
      </c>
      <c r="O485" s="73">
        <f t="shared" si="45"/>
        <v>0</v>
      </c>
      <c r="P485" s="74">
        <f>IF(L485="nio",0,IF(L485&gt;0,VLOOKUP(H485,'3-Productie normen'!A:J,VLOOKUP(L485,'3-Productie normen'!$B$33:$C$38,2,FALSE),FALSE)))/VLOOKUP(B485,'2-Kosten per locatie'!$A$12:$C$23,3,FALSE)</f>
        <v>0</v>
      </c>
      <c r="Q485" s="74">
        <f t="shared" si="46"/>
        <v>0</v>
      </c>
      <c r="R485" s="75" t="str">
        <f>VLOOKUP(H485,'3-Productie normen'!A:L,12,FALSE)</f>
        <v>S</v>
      </c>
      <c r="S485" s="75"/>
      <c r="U485" s="41">
        <f t="shared" si="47"/>
        <v>3260</v>
      </c>
    </row>
    <row r="486" spans="1:21" ht="14.1" customHeight="1">
      <c r="A486" s="54">
        <f t="shared" si="42"/>
        <v>486</v>
      </c>
      <c r="B486" s="70" t="s">
        <v>527</v>
      </c>
      <c r="C486" s="70"/>
      <c r="D486" s="416" t="s">
        <v>528</v>
      </c>
      <c r="E486" s="416" t="s">
        <v>89</v>
      </c>
      <c r="F486" s="71" t="s">
        <v>304</v>
      </c>
      <c r="G486" s="40" t="s">
        <v>539</v>
      </c>
      <c r="H486" s="40" t="s">
        <v>232</v>
      </c>
      <c r="I486" s="40" t="s">
        <v>538</v>
      </c>
      <c r="J486" s="460">
        <v>14</v>
      </c>
      <c r="K486" s="371">
        <f t="shared" si="43"/>
        <v>200</v>
      </c>
      <c r="L486" s="72">
        <v>200</v>
      </c>
      <c r="M486" s="72"/>
      <c r="N486" s="73" t="e">
        <f t="shared" si="44"/>
        <v>#DIV/0!</v>
      </c>
      <c r="O486" s="73">
        <f t="shared" si="45"/>
        <v>0</v>
      </c>
      <c r="P486" s="74">
        <f>IF(L486="nio",0,IF(L486&gt;0,VLOOKUP(H486,'3-Productie normen'!A:J,VLOOKUP(L486,'3-Productie normen'!$B$33:$C$38,2,FALSE),FALSE)))/VLOOKUP(B486,'2-Kosten per locatie'!$A$12:$C$23,3,FALSE)</f>
        <v>0</v>
      </c>
      <c r="Q486" s="74">
        <f t="shared" si="46"/>
        <v>0</v>
      </c>
      <c r="R486" s="75" t="str">
        <f>VLOOKUP(H486,'3-Productie normen'!A:L,12,FALSE)</f>
        <v>V</v>
      </c>
      <c r="S486" s="75"/>
      <c r="U486" s="41">
        <f t="shared" si="47"/>
        <v>2800</v>
      </c>
    </row>
    <row r="487" spans="1:21" ht="14.1" customHeight="1">
      <c r="A487" s="54">
        <f t="shared" si="42"/>
        <v>487</v>
      </c>
      <c r="B487" s="70" t="s">
        <v>527</v>
      </c>
      <c r="C487" s="70"/>
      <c r="D487" s="416" t="s">
        <v>528</v>
      </c>
      <c r="E487" s="416" t="s">
        <v>89</v>
      </c>
      <c r="F487" s="71" t="s">
        <v>305</v>
      </c>
      <c r="G487" s="77" t="s">
        <v>540</v>
      </c>
      <c r="H487" s="77" t="s">
        <v>533</v>
      </c>
      <c r="I487" s="40"/>
      <c r="J487" s="460">
        <v>0</v>
      </c>
      <c r="K487" s="371">
        <f t="shared" si="43"/>
        <v>0</v>
      </c>
      <c r="L487" s="449" t="s">
        <v>348</v>
      </c>
      <c r="M487" s="72"/>
      <c r="N487" s="73">
        <f t="shared" si="44"/>
        <v>0</v>
      </c>
      <c r="O487" s="73">
        <f t="shared" si="45"/>
        <v>0</v>
      </c>
      <c r="P487" s="74">
        <f>IF(L487="nio",0,IF(L487&gt;0,VLOOKUP(H487,'3-Productie normen'!A:J,VLOOKUP(L487,'3-Productie normen'!$B$33:$C$38,2,FALSE),FALSE)))/VLOOKUP(B487,'2-Kosten per locatie'!$A$12:$C$23,3,FALSE)</f>
        <v>0</v>
      </c>
      <c r="Q487" s="74">
        <f t="shared" si="46"/>
        <v>0</v>
      </c>
      <c r="R487" s="75">
        <f>VLOOKUP(H487,'3-Productie normen'!A:L,12,FALSE)</f>
        <v>0</v>
      </c>
      <c r="S487" s="75"/>
      <c r="U487" s="41">
        <f t="shared" si="47"/>
        <v>0</v>
      </c>
    </row>
    <row r="488" spans="1:21" ht="14.1" customHeight="1">
      <c r="A488" s="54">
        <f t="shared" si="42"/>
        <v>488</v>
      </c>
      <c r="B488" s="70" t="s">
        <v>527</v>
      </c>
      <c r="C488" s="70"/>
      <c r="D488" s="416" t="s">
        <v>528</v>
      </c>
      <c r="E488" s="416" t="s">
        <v>89</v>
      </c>
      <c r="F488" s="71" t="s">
        <v>306</v>
      </c>
      <c r="G488" s="40" t="s">
        <v>541</v>
      </c>
      <c r="H488" s="40" t="s">
        <v>233</v>
      </c>
      <c r="I488" s="78" t="s">
        <v>91</v>
      </c>
      <c r="J488" s="460">
        <v>50.3</v>
      </c>
      <c r="K488" s="371">
        <f t="shared" si="43"/>
        <v>200</v>
      </c>
      <c r="L488" s="72">
        <v>200</v>
      </c>
      <c r="M488" s="72"/>
      <c r="N488" s="73" t="e">
        <f t="shared" si="44"/>
        <v>#DIV/0!</v>
      </c>
      <c r="O488" s="73">
        <f t="shared" si="45"/>
        <v>0</v>
      </c>
      <c r="P488" s="74">
        <f>IF(L488="nio",0,IF(L488&gt;0,VLOOKUP(H488,'3-Productie normen'!A:J,VLOOKUP(L488,'3-Productie normen'!$B$33:$C$38,2,FALSE),FALSE)))/VLOOKUP(B488,'2-Kosten per locatie'!$A$12:$C$23,3,FALSE)</f>
        <v>0</v>
      </c>
      <c r="Q488" s="74">
        <f t="shared" si="46"/>
        <v>0</v>
      </c>
      <c r="R488" s="75" t="str">
        <f>VLOOKUP(H488,'3-Productie normen'!A:L,12,FALSE)</f>
        <v>L</v>
      </c>
      <c r="S488" s="75"/>
      <c r="U488" s="41">
        <f t="shared" si="47"/>
        <v>10060</v>
      </c>
    </row>
    <row r="489" spans="1:21" ht="14.1" customHeight="1">
      <c r="A489" s="54">
        <f t="shared" si="42"/>
        <v>489</v>
      </c>
      <c r="B489" s="70" t="s">
        <v>527</v>
      </c>
      <c r="C489" s="70"/>
      <c r="D489" s="417" t="s">
        <v>528</v>
      </c>
      <c r="E489" s="417" t="s">
        <v>89</v>
      </c>
      <c r="F489" s="79" t="s">
        <v>307</v>
      </c>
      <c r="G489" s="80" t="s">
        <v>541</v>
      </c>
      <c r="H489" s="40" t="s">
        <v>233</v>
      </c>
      <c r="I489" s="40" t="s">
        <v>91</v>
      </c>
      <c r="J489" s="460">
        <v>50.6</v>
      </c>
      <c r="K489" s="371">
        <f t="shared" si="43"/>
        <v>200</v>
      </c>
      <c r="L489" s="72">
        <v>200</v>
      </c>
      <c r="M489" s="72"/>
      <c r="N489" s="73" t="e">
        <f t="shared" si="44"/>
        <v>#DIV/0!</v>
      </c>
      <c r="O489" s="73">
        <f t="shared" si="45"/>
        <v>0</v>
      </c>
      <c r="P489" s="74">
        <f>IF(L489="nio",0,IF(L489&gt;0,VLOOKUP(H489,'3-Productie normen'!A:J,VLOOKUP(L489,'3-Productie normen'!$B$33:$C$38,2,FALSE),FALSE)))/VLOOKUP(B489,'2-Kosten per locatie'!$A$12:$C$23,3,FALSE)</f>
        <v>0</v>
      </c>
      <c r="Q489" s="74">
        <f t="shared" si="46"/>
        <v>0</v>
      </c>
      <c r="R489" s="75" t="str">
        <f>VLOOKUP(H489,'3-Productie normen'!A:L,12,FALSE)</f>
        <v>L</v>
      </c>
      <c r="S489" s="75"/>
      <c r="U489" s="41">
        <f t="shared" si="47"/>
        <v>10120</v>
      </c>
    </row>
    <row r="490" spans="1:21" ht="14.1" customHeight="1">
      <c r="A490" s="54">
        <f t="shared" si="42"/>
        <v>490</v>
      </c>
      <c r="B490" s="70" t="s">
        <v>527</v>
      </c>
      <c r="C490" s="70"/>
      <c r="D490" s="416" t="s">
        <v>528</v>
      </c>
      <c r="E490" s="416" t="s">
        <v>89</v>
      </c>
      <c r="F490" s="71" t="s">
        <v>308</v>
      </c>
      <c r="G490" s="40" t="s">
        <v>541</v>
      </c>
      <c r="H490" s="40" t="s">
        <v>233</v>
      </c>
      <c r="I490" s="40" t="s">
        <v>91</v>
      </c>
      <c r="J490" s="460">
        <v>50.6</v>
      </c>
      <c r="K490" s="371">
        <f t="shared" si="43"/>
        <v>200</v>
      </c>
      <c r="L490" s="72">
        <v>200</v>
      </c>
      <c r="M490" s="72"/>
      <c r="N490" s="73" t="e">
        <f t="shared" si="44"/>
        <v>#DIV/0!</v>
      </c>
      <c r="O490" s="73">
        <f t="shared" si="45"/>
        <v>0</v>
      </c>
      <c r="P490" s="74">
        <f>IF(L490="nio",0,IF(L490&gt;0,VLOOKUP(H490,'3-Productie normen'!A:J,VLOOKUP(L490,'3-Productie normen'!$B$33:$C$38,2,FALSE),FALSE)))/VLOOKUP(B490,'2-Kosten per locatie'!$A$12:$C$23,3,FALSE)</f>
        <v>0</v>
      </c>
      <c r="Q490" s="74">
        <f t="shared" si="46"/>
        <v>0</v>
      </c>
      <c r="R490" s="75" t="str">
        <f>VLOOKUP(H490,'3-Productie normen'!A:L,12,FALSE)</f>
        <v>L</v>
      </c>
      <c r="S490" s="75"/>
      <c r="U490" s="41">
        <f t="shared" si="47"/>
        <v>10120</v>
      </c>
    </row>
    <row r="491" spans="1:21" ht="14.1" customHeight="1">
      <c r="A491" s="54">
        <f t="shared" si="42"/>
        <v>491</v>
      </c>
      <c r="B491" s="70" t="s">
        <v>527</v>
      </c>
      <c r="C491" s="70"/>
      <c r="D491" s="416" t="s">
        <v>528</v>
      </c>
      <c r="E491" s="416" t="s">
        <v>89</v>
      </c>
      <c r="F491" s="71" t="s">
        <v>309</v>
      </c>
      <c r="G491" s="40" t="s">
        <v>541</v>
      </c>
      <c r="H491" s="40" t="s">
        <v>233</v>
      </c>
      <c r="I491" s="40" t="s">
        <v>91</v>
      </c>
      <c r="J491" s="460">
        <v>50.6</v>
      </c>
      <c r="K491" s="371">
        <f t="shared" si="43"/>
        <v>200</v>
      </c>
      <c r="L491" s="72">
        <v>200</v>
      </c>
      <c r="M491" s="72"/>
      <c r="N491" s="73" t="e">
        <f t="shared" si="44"/>
        <v>#DIV/0!</v>
      </c>
      <c r="O491" s="73">
        <f t="shared" si="45"/>
        <v>0</v>
      </c>
      <c r="P491" s="74">
        <f>IF(L491="nio",0,IF(L491&gt;0,VLOOKUP(H491,'3-Productie normen'!A:J,VLOOKUP(L491,'3-Productie normen'!$B$33:$C$38,2,FALSE),FALSE)))/VLOOKUP(B491,'2-Kosten per locatie'!$A$12:$C$23,3,FALSE)</f>
        <v>0</v>
      </c>
      <c r="Q491" s="74">
        <f t="shared" si="46"/>
        <v>0</v>
      </c>
      <c r="R491" s="75" t="str">
        <f>VLOOKUP(H491,'3-Productie normen'!A:L,12,FALSE)</f>
        <v>L</v>
      </c>
      <c r="S491" s="75"/>
      <c r="U491" s="41">
        <f t="shared" si="47"/>
        <v>10120</v>
      </c>
    </row>
    <row r="492" spans="1:21" ht="14.1" customHeight="1">
      <c r="A492" s="54">
        <f t="shared" si="42"/>
        <v>492</v>
      </c>
      <c r="B492" s="70" t="s">
        <v>527</v>
      </c>
      <c r="C492" s="70"/>
      <c r="D492" s="416" t="s">
        <v>528</v>
      </c>
      <c r="E492" s="416" t="s">
        <v>89</v>
      </c>
      <c r="F492" s="71" t="s">
        <v>310</v>
      </c>
      <c r="G492" s="40" t="s">
        <v>542</v>
      </c>
      <c r="H492" s="40" t="s">
        <v>17</v>
      </c>
      <c r="I492" s="40" t="s">
        <v>536</v>
      </c>
      <c r="J492" s="460">
        <v>3.76</v>
      </c>
      <c r="K492" s="371">
        <f t="shared" si="43"/>
        <v>200</v>
      </c>
      <c r="L492" s="72">
        <v>200</v>
      </c>
      <c r="M492" s="72"/>
      <c r="N492" s="73" t="e">
        <f t="shared" si="44"/>
        <v>#DIV/0!</v>
      </c>
      <c r="O492" s="73">
        <f t="shared" si="45"/>
        <v>0</v>
      </c>
      <c r="P492" s="74">
        <f>IF(L492="nio",0,IF(L492&gt;0,VLOOKUP(H492,'3-Productie normen'!A:J,VLOOKUP(L492,'3-Productie normen'!$B$33:$C$38,2,FALSE),FALSE)))/VLOOKUP(B492,'2-Kosten per locatie'!$A$12:$C$23,3,FALSE)</f>
        <v>0</v>
      </c>
      <c r="Q492" s="74">
        <f t="shared" si="46"/>
        <v>0</v>
      </c>
      <c r="R492" s="75" t="str">
        <f>VLOOKUP(H492,'3-Productie normen'!A:L,12,FALSE)</f>
        <v>S</v>
      </c>
      <c r="S492" s="75"/>
      <c r="U492" s="41">
        <f t="shared" si="47"/>
        <v>752</v>
      </c>
    </row>
    <row r="493" spans="1:21" ht="14.1" customHeight="1">
      <c r="A493" s="54">
        <f t="shared" si="42"/>
        <v>493</v>
      </c>
      <c r="B493" s="70" t="s">
        <v>527</v>
      </c>
      <c r="C493" s="70"/>
      <c r="D493" s="416" t="s">
        <v>528</v>
      </c>
      <c r="E493" s="416" t="s">
        <v>89</v>
      </c>
      <c r="F493" s="71" t="s">
        <v>311</v>
      </c>
      <c r="G493" s="40" t="s">
        <v>543</v>
      </c>
      <c r="H493" s="40" t="s">
        <v>17</v>
      </c>
      <c r="I493" s="40" t="s">
        <v>536</v>
      </c>
      <c r="J493" s="460">
        <v>3.39</v>
      </c>
      <c r="K493" s="371">
        <f t="shared" si="43"/>
        <v>200</v>
      </c>
      <c r="L493" s="72">
        <v>200</v>
      </c>
      <c r="M493" s="72"/>
      <c r="N493" s="73" t="e">
        <f t="shared" si="44"/>
        <v>#DIV/0!</v>
      </c>
      <c r="O493" s="73">
        <f t="shared" si="45"/>
        <v>0</v>
      </c>
      <c r="P493" s="74">
        <f>IF(L493="nio",0,IF(L493&gt;0,VLOOKUP(H493,'3-Productie normen'!A:J,VLOOKUP(L493,'3-Productie normen'!$B$33:$C$38,2,FALSE),FALSE)))/VLOOKUP(B493,'2-Kosten per locatie'!$A$12:$C$23,3,FALSE)</f>
        <v>0</v>
      </c>
      <c r="Q493" s="74">
        <f t="shared" si="46"/>
        <v>0</v>
      </c>
      <c r="R493" s="75" t="str">
        <f>VLOOKUP(H493,'3-Productie normen'!A:L,12,FALSE)</f>
        <v>S</v>
      </c>
      <c r="S493" s="75"/>
      <c r="U493" s="41">
        <f t="shared" si="47"/>
        <v>678</v>
      </c>
    </row>
    <row r="494" spans="1:21" ht="14.1" customHeight="1">
      <c r="A494" s="54">
        <f t="shared" si="42"/>
        <v>494</v>
      </c>
      <c r="B494" s="70" t="s">
        <v>527</v>
      </c>
      <c r="C494" s="70"/>
      <c r="D494" s="416" t="s">
        <v>528</v>
      </c>
      <c r="E494" s="416" t="s">
        <v>89</v>
      </c>
      <c r="F494" s="71" t="s">
        <v>312</v>
      </c>
      <c r="G494" s="40" t="s">
        <v>542</v>
      </c>
      <c r="H494" s="40" t="s">
        <v>17</v>
      </c>
      <c r="I494" s="40" t="s">
        <v>536</v>
      </c>
      <c r="J494" s="460">
        <v>3.41</v>
      </c>
      <c r="K494" s="371">
        <f t="shared" si="43"/>
        <v>200</v>
      </c>
      <c r="L494" s="72">
        <v>200</v>
      </c>
      <c r="M494" s="72"/>
      <c r="N494" s="73" t="e">
        <f t="shared" si="44"/>
        <v>#DIV/0!</v>
      </c>
      <c r="O494" s="73">
        <f t="shared" si="45"/>
        <v>0</v>
      </c>
      <c r="P494" s="74">
        <f>IF(L494="nio",0,IF(L494&gt;0,VLOOKUP(H494,'3-Productie normen'!A:J,VLOOKUP(L494,'3-Productie normen'!$B$33:$C$38,2,FALSE),FALSE)))/VLOOKUP(B494,'2-Kosten per locatie'!$A$12:$C$23,3,FALSE)</f>
        <v>0</v>
      </c>
      <c r="Q494" s="74">
        <f t="shared" si="46"/>
        <v>0</v>
      </c>
      <c r="R494" s="75" t="str">
        <f>VLOOKUP(H494,'3-Productie normen'!A:L,12,FALSE)</f>
        <v>S</v>
      </c>
      <c r="S494" s="75"/>
      <c r="U494" s="41">
        <f t="shared" si="47"/>
        <v>682</v>
      </c>
    </row>
    <row r="495" spans="1:21" ht="14.1" customHeight="1">
      <c r="A495" s="54">
        <f t="shared" si="42"/>
        <v>495</v>
      </c>
      <c r="B495" s="70" t="s">
        <v>527</v>
      </c>
      <c r="C495" s="70"/>
      <c r="D495" s="416" t="s">
        <v>528</v>
      </c>
      <c r="E495" s="416" t="s">
        <v>89</v>
      </c>
      <c r="F495" s="71" t="s">
        <v>313</v>
      </c>
      <c r="G495" s="70" t="s">
        <v>268</v>
      </c>
      <c r="H495" s="70" t="s">
        <v>232</v>
      </c>
      <c r="I495" s="40" t="s">
        <v>346</v>
      </c>
      <c r="J495" s="460">
        <v>59.5</v>
      </c>
      <c r="K495" s="371">
        <f t="shared" si="43"/>
        <v>200</v>
      </c>
      <c r="L495" s="72">
        <v>200</v>
      </c>
      <c r="M495" s="72"/>
      <c r="N495" s="73" t="e">
        <f t="shared" si="44"/>
        <v>#DIV/0!</v>
      </c>
      <c r="O495" s="73">
        <f t="shared" si="45"/>
        <v>0</v>
      </c>
      <c r="P495" s="74">
        <f>IF(L495="nio",0,IF(L495&gt;0,VLOOKUP(H495,'3-Productie normen'!A:J,VLOOKUP(L495,'3-Productie normen'!$B$33:$C$38,2,FALSE),FALSE)))/VLOOKUP(B495,'2-Kosten per locatie'!$A$12:$C$23,3,FALSE)</f>
        <v>0</v>
      </c>
      <c r="Q495" s="74">
        <f t="shared" si="46"/>
        <v>0</v>
      </c>
      <c r="R495" s="75" t="str">
        <f>VLOOKUP(H495,'3-Productie normen'!A:L,12,FALSE)</f>
        <v>V</v>
      </c>
      <c r="S495" s="75"/>
      <c r="U495" s="41">
        <f t="shared" si="47"/>
        <v>11900</v>
      </c>
    </row>
    <row r="496" spans="1:21" ht="14.1" customHeight="1">
      <c r="A496" s="54">
        <f t="shared" si="42"/>
        <v>496</v>
      </c>
      <c r="B496" s="70" t="s">
        <v>527</v>
      </c>
      <c r="C496" s="70"/>
      <c r="D496" s="416" t="s">
        <v>528</v>
      </c>
      <c r="E496" s="416" t="s">
        <v>89</v>
      </c>
      <c r="F496" s="71" t="s">
        <v>314</v>
      </c>
      <c r="G496" s="70" t="s">
        <v>268</v>
      </c>
      <c r="H496" s="70" t="s">
        <v>232</v>
      </c>
      <c r="I496" s="40" t="s">
        <v>346</v>
      </c>
      <c r="J496" s="460">
        <v>70</v>
      </c>
      <c r="K496" s="371">
        <f t="shared" si="43"/>
        <v>200</v>
      </c>
      <c r="L496" s="72">
        <v>200</v>
      </c>
      <c r="M496" s="72"/>
      <c r="N496" s="73" t="e">
        <f t="shared" si="44"/>
        <v>#DIV/0!</v>
      </c>
      <c r="O496" s="73">
        <f t="shared" si="45"/>
        <v>0</v>
      </c>
      <c r="P496" s="74">
        <f>IF(L496="nio",0,IF(L496&gt;0,VLOOKUP(H496,'3-Productie normen'!A:J,VLOOKUP(L496,'3-Productie normen'!$B$33:$C$38,2,FALSE),FALSE)))/VLOOKUP(B496,'2-Kosten per locatie'!$A$12:$C$23,3,FALSE)</f>
        <v>0</v>
      </c>
      <c r="Q496" s="74">
        <f t="shared" si="46"/>
        <v>0</v>
      </c>
      <c r="R496" s="75" t="str">
        <f>VLOOKUP(H496,'3-Productie normen'!A:L,12,FALSE)</f>
        <v>V</v>
      </c>
      <c r="S496" s="75"/>
      <c r="U496" s="41">
        <f t="shared" si="47"/>
        <v>14000</v>
      </c>
    </row>
    <row r="497" spans="1:21" ht="14.1" customHeight="1">
      <c r="A497" s="54">
        <f t="shared" si="42"/>
        <v>497</v>
      </c>
      <c r="B497" s="70" t="s">
        <v>527</v>
      </c>
      <c r="C497" s="70"/>
      <c r="D497" s="416" t="s">
        <v>528</v>
      </c>
      <c r="E497" s="416" t="s">
        <v>89</v>
      </c>
      <c r="F497" s="71" t="s">
        <v>544</v>
      </c>
      <c r="G497" s="70" t="s">
        <v>218</v>
      </c>
      <c r="H497" s="70" t="s">
        <v>232</v>
      </c>
      <c r="I497" s="40" t="s">
        <v>346</v>
      </c>
      <c r="J497" s="460">
        <v>1.56</v>
      </c>
      <c r="K497" s="371">
        <f t="shared" si="43"/>
        <v>200</v>
      </c>
      <c r="L497" s="72">
        <v>200</v>
      </c>
      <c r="M497" s="72"/>
      <c r="N497" s="73" t="e">
        <f t="shared" si="44"/>
        <v>#DIV/0!</v>
      </c>
      <c r="O497" s="73">
        <f t="shared" si="45"/>
        <v>0</v>
      </c>
      <c r="P497" s="74">
        <f>IF(L497="nio",0,IF(L497&gt;0,VLOOKUP(H497,'3-Productie normen'!A:J,VLOOKUP(L497,'3-Productie normen'!$B$33:$C$38,2,FALSE),FALSE)))/VLOOKUP(B497,'2-Kosten per locatie'!$A$12:$C$23,3,FALSE)</f>
        <v>0</v>
      </c>
      <c r="Q497" s="74">
        <f t="shared" si="46"/>
        <v>0</v>
      </c>
      <c r="R497" s="75" t="str">
        <f>VLOOKUP(H497,'3-Productie normen'!A:L,12,FALSE)</f>
        <v>V</v>
      </c>
      <c r="S497" s="75"/>
      <c r="U497" s="41">
        <f t="shared" si="47"/>
        <v>312</v>
      </c>
    </row>
    <row r="498" spans="1:21" ht="14.1" customHeight="1">
      <c r="A498" s="54">
        <f t="shared" si="42"/>
        <v>498</v>
      </c>
      <c r="B498" s="70" t="s">
        <v>527</v>
      </c>
      <c r="C498" s="70"/>
      <c r="D498" s="416" t="s">
        <v>528</v>
      </c>
      <c r="E498" s="416" t="s">
        <v>89</v>
      </c>
      <c r="F498" s="71" t="s">
        <v>315</v>
      </c>
      <c r="G498" s="40" t="s">
        <v>268</v>
      </c>
      <c r="H498" s="40" t="s">
        <v>232</v>
      </c>
      <c r="I498" s="40" t="s">
        <v>346</v>
      </c>
      <c r="J498" s="460">
        <v>16</v>
      </c>
      <c r="K498" s="371">
        <f t="shared" si="43"/>
        <v>200</v>
      </c>
      <c r="L498" s="72">
        <v>200</v>
      </c>
      <c r="M498" s="72"/>
      <c r="N498" s="73" t="e">
        <f t="shared" si="44"/>
        <v>#DIV/0!</v>
      </c>
      <c r="O498" s="73">
        <f t="shared" si="45"/>
        <v>0</v>
      </c>
      <c r="P498" s="74">
        <f>IF(L498="nio",0,IF(L498&gt;0,VLOOKUP(H498,'3-Productie normen'!A:J,VLOOKUP(L498,'3-Productie normen'!$B$33:$C$38,2,FALSE),FALSE)))/VLOOKUP(B498,'2-Kosten per locatie'!$A$12:$C$23,3,FALSE)</f>
        <v>0</v>
      </c>
      <c r="Q498" s="74">
        <f t="shared" si="46"/>
        <v>0</v>
      </c>
      <c r="R498" s="75" t="str">
        <f>VLOOKUP(H498,'3-Productie normen'!A:L,12,FALSE)</f>
        <v>V</v>
      </c>
      <c r="S498" s="75"/>
      <c r="U498" s="41">
        <f t="shared" si="47"/>
        <v>3200</v>
      </c>
    </row>
    <row r="499" spans="1:21" ht="14.1" customHeight="1">
      <c r="A499" s="54">
        <f t="shared" si="42"/>
        <v>499</v>
      </c>
      <c r="B499" s="70" t="s">
        <v>527</v>
      </c>
      <c r="C499" s="70"/>
      <c r="D499" s="416" t="s">
        <v>528</v>
      </c>
      <c r="E499" s="416" t="s">
        <v>89</v>
      </c>
      <c r="F499" s="71" t="s">
        <v>316</v>
      </c>
      <c r="G499" s="40" t="s">
        <v>256</v>
      </c>
      <c r="H499" s="40" t="s">
        <v>176</v>
      </c>
      <c r="I499" s="40" t="s">
        <v>91</v>
      </c>
      <c r="J499" s="460">
        <v>11.7</v>
      </c>
      <c r="K499" s="371">
        <f t="shared" si="43"/>
        <v>200</v>
      </c>
      <c r="L499" s="72">
        <v>200</v>
      </c>
      <c r="M499" s="72"/>
      <c r="N499" s="73" t="e">
        <f t="shared" si="44"/>
        <v>#DIV/0!</v>
      </c>
      <c r="O499" s="73">
        <f t="shared" si="45"/>
        <v>0</v>
      </c>
      <c r="P499" s="74">
        <f>IF(L499="nio",0,IF(L499&gt;0,VLOOKUP(H499,'3-Productie normen'!A:J,VLOOKUP(L499,'3-Productie normen'!$B$33:$C$38,2,FALSE),FALSE)))/VLOOKUP(B499,'2-Kosten per locatie'!$A$12:$C$23,3,FALSE)</f>
        <v>0</v>
      </c>
      <c r="Q499" s="74">
        <f t="shared" si="46"/>
        <v>0</v>
      </c>
      <c r="R499" s="75" t="str">
        <f>VLOOKUP(H499,'3-Productie normen'!A:L,12,FALSE)</f>
        <v>B</v>
      </c>
      <c r="S499" s="75"/>
      <c r="U499" s="41">
        <f t="shared" si="47"/>
        <v>2340</v>
      </c>
    </row>
    <row r="500" spans="1:21" ht="14.1" customHeight="1">
      <c r="A500" s="54">
        <f t="shared" si="42"/>
        <v>500</v>
      </c>
      <c r="B500" s="70" t="s">
        <v>527</v>
      </c>
      <c r="C500" s="70"/>
      <c r="D500" s="416" t="s">
        <v>528</v>
      </c>
      <c r="E500" s="416" t="s">
        <v>89</v>
      </c>
      <c r="F500" s="71" t="s">
        <v>317</v>
      </c>
      <c r="G500" s="40" t="s">
        <v>256</v>
      </c>
      <c r="H500" s="40" t="s">
        <v>176</v>
      </c>
      <c r="I500" s="40" t="s">
        <v>91</v>
      </c>
      <c r="J500" s="460">
        <v>10.039999999999999</v>
      </c>
      <c r="K500" s="371">
        <f t="shared" si="43"/>
        <v>200</v>
      </c>
      <c r="L500" s="72">
        <v>200</v>
      </c>
      <c r="M500" s="72"/>
      <c r="N500" s="73" t="e">
        <f t="shared" si="44"/>
        <v>#DIV/0!</v>
      </c>
      <c r="O500" s="73">
        <f t="shared" si="45"/>
        <v>0</v>
      </c>
      <c r="P500" s="74">
        <f>IF(L500="nio",0,IF(L500&gt;0,VLOOKUP(H500,'3-Productie normen'!A:J,VLOOKUP(L500,'3-Productie normen'!$B$33:$C$38,2,FALSE),FALSE)))/VLOOKUP(B500,'2-Kosten per locatie'!$A$12:$C$23,3,FALSE)</f>
        <v>0</v>
      </c>
      <c r="Q500" s="74">
        <f t="shared" si="46"/>
        <v>0</v>
      </c>
      <c r="R500" s="75" t="str">
        <f>VLOOKUP(H500,'3-Productie normen'!A:L,12,FALSE)</f>
        <v>B</v>
      </c>
      <c r="S500" s="75"/>
      <c r="U500" s="41">
        <f t="shared" si="47"/>
        <v>2007.9999999999998</v>
      </c>
    </row>
    <row r="501" spans="1:21" ht="14.1" customHeight="1">
      <c r="A501" s="54">
        <f t="shared" si="42"/>
        <v>501</v>
      </c>
      <c r="B501" s="70" t="s">
        <v>527</v>
      </c>
      <c r="C501" s="70"/>
      <c r="D501" s="416" t="s">
        <v>528</v>
      </c>
      <c r="E501" s="416" t="s">
        <v>89</v>
      </c>
      <c r="F501" s="71" t="s">
        <v>318</v>
      </c>
      <c r="G501" s="40" t="s">
        <v>541</v>
      </c>
      <c r="H501" s="40" t="s">
        <v>233</v>
      </c>
      <c r="I501" s="40" t="s">
        <v>91</v>
      </c>
      <c r="J501" s="460">
        <v>56.7</v>
      </c>
      <c r="K501" s="371">
        <f t="shared" si="43"/>
        <v>200</v>
      </c>
      <c r="L501" s="72">
        <v>200</v>
      </c>
      <c r="M501" s="72"/>
      <c r="N501" s="73" t="e">
        <f t="shared" si="44"/>
        <v>#DIV/0!</v>
      </c>
      <c r="O501" s="73">
        <f t="shared" si="45"/>
        <v>0</v>
      </c>
      <c r="P501" s="74">
        <f>IF(L501="nio",0,IF(L501&gt;0,VLOOKUP(H501,'3-Productie normen'!A:J,VLOOKUP(L501,'3-Productie normen'!$B$33:$C$38,2,FALSE),FALSE)))/VLOOKUP(B501,'2-Kosten per locatie'!$A$12:$C$23,3,FALSE)</f>
        <v>0</v>
      </c>
      <c r="Q501" s="74">
        <f t="shared" si="46"/>
        <v>0</v>
      </c>
      <c r="R501" s="75" t="str">
        <f>VLOOKUP(H501,'3-Productie normen'!A:L,12,FALSE)</f>
        <v>L</v>
      </c>
      <c r="S501" s="75"/>
      <c r="U501" s="41">
        <f t="shared" si="47"/>
        <v>11340</v>
      </c>
    </row>
    <row r="502" spans="1:21" ht="14.1" customHeight="1">
      <c r="A502" s="54">
        <f t="shared" si="42"/>
        <v>502</v>
      </c>
      <c r="B502" s="70" t="s">
        <v>527</v>
      </c>
      <c r="C502" s="70"/>
      <c r="D502" s="416" t="s">
        <v>528</v>
      </c>
      <c r="E502" s="416" t="s">
        <v>89</v>
      </c>
      <c r="F502" s="71" t="s">
        <v>319</v>
      </c>
      <c r="G502" s="77" t="s">
        <v>541</v>
      </c>
      <c r="H502" s="40" t="s">
        <v>233</v>
      </c>
      <c r="I502" s="40" t="s">
        <v>91</v>
      </c>
      <c r="J502" s="460">
        <v>56.5</v>
      </c>
      <c r="K502" s="371">
        <f t="shared" si="43"/>
        <v>200</v>
      </c>
      <c r="L502" s="72">
        <v>200</v>
      </c>
      <c r="M502" s="72"/>
      <c r="N502" s="73" t="e">
        <f t="shared" si="44"/>
        <v>#DIV/0!</v>
      </c>
      <c r="O502" s="73">
        <f t="shared" si="45"/>
        <v>0</v>
      </c>
      <c r="P502" s="74">
        <f>IF(L502="nio",0,IF(L502&gt;0,VLOOKUP(H502,'3-Productie normen'!A:J,VLOOKUP(L502,'3-Productie normen'!$B$33:$C$38,2,FALSE),FALSE)))/VLOOKUP(B502,'2-Kosten per locatie'!$A$12:$C$23,3,FALSE)</f>
        <v>0</v>
      </c>
      <c r="Q502" s="74">
        <f t="shared" si="46"/>
        <v>0</v>
      </c>
      <c r="R502" s="75" t="str">
        <f>VLOOKUP(H502,'3-Productie normen'!A:L,12,FALSE)</f>
        <v>L</v>
      </c>
      <c r="S502" s="75"/>
      <c r="U502" s="41">
        <f t="shared" si="47"/>
        <v>11300</v>
      </c>
    </row>
    <row r="503" spans="1:21" ht="14.1" customHeight="1">
      <c r="A503" s="54">
        <f t="shared" si="42"/>
        <v>503</v>
      </c>
      <c r="B503" s="70" t="s">
        <v>527</v>
      </c>
      <c r="C503" s="70"/>
      <c r="D503" s="416" t="s">
        <v>528</v>
      </c>
      <c r="E503" s="416" t="s">
        <v>89</v>
      </c>
      <c r="F503" s="71" t="s">
        <v>320</v>
      </c>
      <c r="G503" s="40" t="s">
        <v>541</v>
      </c>
      <c r="H503" s="40" t="s">
        <v>233</v>
      </c>
      <c r="I503" s="78" t="s">
        <v>91</v>
      </c>
      <c r="J503" s="460">
        <v>56.5</v>
      </c>
      <c r="K503" s="371">
        <f t="shared" si="43"/>
        <v>200</v>
      </c>
      <c r="L503" s="72">
        <v>200</v>
      </c>
      <c r="M503" s="72"/>
      <c r="N503" s="73" t="e">
        <f t="shared" si="44"/>
        <v>#DIV/0!</v>
      </c>
      <c r="O503" s="73">
        <f t="shared" si="45"/>
        <v>0</v>
      </c>
      <c r="P503" s="74">
        <f>IF(L503="nio",0,IF(L503&gt;0,VLOOKUP(H503,'3-Productie normen'!A:J,VLOOKUP(L503,'3-Productie normen'!$B$33:$C$38,2,FALSE),FALSE)))/VLOOKUP(B503,'2-Kosten per locatie'!$A$12:$C$23,3,FALSE)</f>
        <v>0</v>
      </c>
      <c r="Q503" s="74">
        <f t="shared" si="46"/>
        <v>0</v>
      </c>
      <c r="R503" s="75" t="str">
        <f>VLOOKUP(H503,'3-Productie normen'!A:L,12,FALSE)</f>
        <v>L</v>
      </c>
      <c r="S503" s="75"/>
      <c r="U503" s="41">
        <f t="shared" si="47"/>
        <v>11300</v>
      </c>
    </row>
    <row r="504" spans="1:21" ht="14.1" customHeight="1">
      <c r="A504" s="54">
        <f t="shared" si="42"/>
        <v>504</v>
      </c>
      <c r="B504" s="70" t="s">
        <v>527</v>
      </c>
      <c r="C504" s="70"/>
      <c r="D504" s="416" t="s">
        <v>528</v>
      </c>
      <c r="E504" s="416" t="s">
        <v>89</v>
      </c>
      <c r="F504" s="79" t="s">
        <v>321</v>
      </c>
      <c r="G504" s="80" t="s">
        <v>230</v>
      </c>
      <c r="H504" s="80" t="s">
        <v>230</v>
      </c>
      <c r="I504" s="40" t="s">
        <v>91</v>
      </c>
      <c r="J504" s="460">
        <v>73.459999999999994</v>
      </c>
      <c r="K504" s="371">
        <f t="shared" si="43"/>
        <v>200</v>
      </c>
      <c r="L504" s="72">
        <v>200</v>
      </c>
      <c r="M504" s="72"/>
      <c r="N504" s="73" t="e">
        <f t="shared" si="44"/>
        <v>#DIV/0!</v>
      </c>
      <c r="O504" s="73">
        <f t="shared" si="45"/>
        <v>0</v>
      </c>
      <c r="P504" s="74">
        <f>IF(L504="nio",0,IF(L504&gt;0,VLOOKUP(H504,'3-Productie normen'!A:J,VLOOKUP(L504,'3-Productie normen'!$B$33:$C$38,2,FALSE),FALSE)))/VLOOKUP(B504,'2-Kosten per locatie'!$A$12:$C$23,3,FALSE)</f>
        <v>0</v>
      </c>
      <c r="Q504" s="74">
        <f t="shared" si="46"/>
        <v>0</v>
      </c>
      <c r="R504" s="75" t="str">
        <f>VLOOKUP(H504,'3-Productie normen'!A:L,12,FALSE)</f>
        <v>S</v>
      </c>
      <c r="S504" s="75"/>
      <c r="U504" s="41">
        <f t="shared" si="47"/>
        <v>14691.999999999998</v>
      </c>
    </row>
    <row r="505" spans="1:21" ht="14.1" customHeight="1">
      <c r="A505" s="54">
        <f t="shared" si="42"/>
        <v>505</v>
      </c>
      <c r="B505" s="70" t="s">
        <v>527</v>
      </c>
      <c r="C505" s="70"/>
      <c r="D505" s="416" t="s">
        <v>528</v>
      </c>
      <c r="E505" s="416" t="s">
        <v>89</v>
      </c>
      <c r="F505" s="71" t="s">
        <v>322</v>
      </c>
      <c r="G505" s="40" t="s">
        <v>265</v>
      </c>
      <c r="H505" s="40" t="s">
        <v>232</v>
      </c>
      <c r="I505" s="40" t="s">
        <v>91</v>
      </c>
      <c r="J505" s="460">
        <v>5.4</v>
      </c>
      <c r="K505" s="371">
        <f t="shared" si="43"/>
        <v>200</v>
      </c>
      <c r="L505" s="72">
        <v>200</v>
      </c>
      <c r="M505" s="72"/>
      <c r="N505" s="73" t="e">
        <f t="shared" si="44"/>
        <v>#DIV/0!</v>
      </c>
      <c r="O505" s="73">
        <f t="shared" si="45"/>
        <v>0</v>
      </c>
      <c r="P505" s="74">
        <f>IF(L505="nio",0,IF(L505&gt;0,VLOOKUP(H505,'3-Productie normen'!A:J,VLOOKUP(L505,'3-Productie normen'!$B$33:$C$38,2,FALSE),FALSE)))/VLOOKUP(B505,'2-Kosten per locatie'!$A$12:$C$23,3,FALSE)</f>
        <v>0</v>
      </c>
      <c r="Q505" s="74">
        <f t="shared" si="46"/>
        <v>0</v>
      </c>
      <c r="R505" s="75" t="str">
        <f>VLOOKUP(H505,'3-Productie normen'!A:L,12,FALSE)</f>
        <v>V</v>
      </c>
      <c r="S505" s="75"/>
      <c r="U505" s="41">
        <f t="shared" si="47"/>
        <v>1080</v>
      </c>
    </row>
    <row r="506" spans="1:21" ht="14.1" customHeight="1">
      <c r="A506" s="54">
        <f t="shared" si="42"/>
        <v>506</v>
      </c>
      <c r="B506" s="70" t="s">
        <v>527</v>
      </c>
      <c r="C506" s="70"/>
      <c r="D506" s="416" t="s">
        <v>528</v>
      </c>
      <c r="E506" s="416" t="s">
        <v>89</v>
      </c>
      <c r="F506" s="71" t="s">
        <v>323</v>
      </c>
      <c r="G506" s="70" t="s">
        <v>545</v>
      </c>
      <c r="H506" s="70" t="s">
        <v>17</v>
      </c>
      <c r="I506" s="40" t="s">
        <v>536</v>
      </c>
      <c r="J506" s="460">
        <v>7.83</v>
      </c>
      <c r="K506" s="371">
        <f t="shared" si="43"/>
        <v>200</v>
      </c>
      <c r="L506" s="72">
        <v>200</v>
      </c>
      <c r="M506" s="72"/>
      <c r="N506" s="73" t="e">
        <f t="shared" si="44"/>
        <v>#DIV/0!</v>
      </c>
      <c r="O506" s="73">
        <f t="shared" si="45"/>
        <v>0</v>
      </c>
      <c r="P506" s="74">
        <f>IF(L506="nio",0,IF(L506&gt;0,VLOOKUP(H506,'3-Productie normen'!A:J,VLOOKUP(L506,'3-Productie normen'!$B$33:$C$38,2,FALSE),FALSE)))/VLOOKUP(B506,'2-Kosten per locatie'!$A$12:$C$23,3,FALSE)</f>
        <v>0</v>
      </c>
      <c r="Q506" s="74">
        <f t="shared" si="46"/>
        <v>0</v>
      </c>
      <c r="R506" s="75" t="str">
        <f>VLOOKUP(H506,'3-Productie normen'!A:L,12,FALSE)</f>
        <v>S</v>
      </c>
      <c r="S506" s="75"/>
      <c r="U506" s="41">
        <f t="shared" si="47"/>
        <v>1566</v>
      </c>
    </row>
    <row r="507" spans="1:21" ht="14.1" customHeight="1">
      <c r="A507" s="54">
        <f t="shared" si="42"/>
        <v>507</v>
      </c>
      <c r="B507" s="70" t="s">
        <v>527</v>
      </c>
      <c r="C507" s="70"/>
      <c r="D507" s="416" t="s">
        <v>528</v>
      </c>
      <c r="E507" s="416" t="s">
        <v>89</v>
      </c>
      <c r="F507" s="71" t="s">
        <v>324</v>
      </c>
      <c r="G507" s="70" t="s">
        <v>546</v>
      </c>
      <c r="H507" s="70" t="s">
        <v>232</v>
      </c>
      <c r="I507" s="40" t="s">
        <v>91</v>
      </c>
      <c r="J507" s="460">
        <v>8</v>
      </c>
      <c r="K507" s="371">
        <f t="shared" si="43"/>
        <v>200</v>
      </c>
      <c r="L507" s="72">
        <v>200</v>
      </c>
      <c r="M507" s="72"/>
      <c r="N507" s="73" t="e">
        <f t="shared" si="44"/>
        <v>#DIV/0!</v>
      </c>
      <c r="O507" s="73">
        <f t="shared" si="45"/>
        <v>0</v>
      </c>
      <c r="P507" s="74">
        <f>IF(L507="nio",0,IF(L507&gt;0,VLOOKUP(H507,'3-Productie normen'!A:J,VLOOKUP(L507,'3-Productie normen'!$B$33:$C$38,2,FALSE),FALSE)))/VLOOKUP(B507,'2-Kosten per locatie'!$A$12:$C$23,3,FALSE)</f>
        <v>0</v>
      </c>
      <c r="Q507" s="74">
        <f t="shared" si="46"/>
        <v>0</v>
      </c>
      <c r="R507" s="75" t="str">
        <f>VLOOKUP(H507,'3-Productie normen'!A:L,12,FALSE)</f>
        <v>V</v>
      </c>
      <c r="S507" s="75"/>
      <c r="U507" s="41">
        <f t="shared" si="47"/>
        <v>1600</v>
      </c>
    </row>
    <row r="508" spans="1:21" ht="14.1" customHeight="1">
      <c r="A508" s="54">
        <f t="shared" si="42"/>
        <v>508</v>
      </c>
      <c r="B508" s="70" t="s">
        <v>527</v>
      </c>
      <c r="C508" s="70"/>
      <c r="D508" s="416" t="s">
        <v>528</v>
      </c>
      <c r="E508" s="416" t="s">
        <v>89</v>
      </c>
      <c r="F508" s="71" t="s">
        <v>325</v>
      </c>
      <c r="G508" s="70" t="s">
        <v>547</v>
      </c>
      <c r="H508" s="70" t="s">
        <v>232</v>
      </c>
      <c r="I508" s="40" t="s">
        <v>207</v>
      </c>
      <c r="J508" s="460">
        <v>18</v>
      </c>
      <c r="K508" s="371">
        <f t="shared" si="43"/>
        <v>200</v>
      </c>
      <c r="L508" s="72">
        <v>200</v>
      </c>
      <c r="M508" s="72"/>
      <c r="N508" s="73" t="e">
        <f t="shared" si="44"/>
        <v>#DIV/0!</v>
      </c>
      <c r="O508" s="73">
        <f t="shared" si="45"/>
        <v>0</v>
      </c>
      <c r="P508" s="74">
        <f>IF(L508="nio",0,IF(L508&gt;0,VLOOKUP(H508,'3-Productie normen'!A:J,VLOOKUP(L508,'3-Productie normen'!$B$33:$C$38,2,FALSE),FALSE)))/VLOOKUP(B508,'2-Kosten per locatie'!$A$12:$C$23,3,FALSE)</f>
        <v>0</v>
      </c>
      <c r="Q508" s="74">
        <f t="shared" si="46"/>
        <v>0</v>
      </c>
      <c r="R508" s="75" t="str">
        <f>VLOOKUP(H508,'3-Productie normen'!A:L,12,FALSE)</f>
        <v>V</v>
      </c>
      <c r="S508" s="75"/>
      <c r="U508" s="41">
        <f t="shared" si="47"/>
        <v>3600</v>
      </c>
    </row>
    <row r="509" spans="1:21" ht="14.1" customHeight="1">
      <c r="A509" s="54">
        <f t="shared" si="42"/>
        <v>509</v>
      </c>
      <c r="B509" s="70" t="s">
        <v>527</v>
      </c>
      <c r="C509" s="70"/>
      <c r="D509" s="416" t="s">
        <v>528</v>
      </c>
      <c r="E509" s="416" t="s">
        <v>89</v>
      </c>
      <c r="F509" s="71" t="s">
        <v>326</v>
      </c>
      <c r="G509" s="40" t="s">
        <v>548</v>
      </c>
      <c r="H509" s="40" t="s">
        <v>236</v>
      </c>
      <c r="I509" s="40" t="s">
        <v>538</v>
      </c>
      <c r="J509" s="460">
        <v>30.6</v>
      </c>
      <c r="K509" s="371">
        <f t="shared" si="43"/>
        <v>200</v>
      </c>
      <c r="L509" s="72">
        <v>200</v>
      </c>
      <c r="M509" s="72"/>
      <c r="N509" s="73" t="e">
        <f t="shared" si="44"/>
        <v>#DIV/0!</v>
      </c>
      <c r="O509" s="73">
        <f t="shared" si="45"/>
        <v>0</v>
      </c>
      <c r="P509" s="74">
        <f>IF(L509="nio",0,IF(L509&gt;0,VLOOKUP(H509,'3-Productie normen'!A:J,VLOOKUP(L509,'3-Productie normen'!$B$33:$C$38,2,FALSE),FALSE)))/VLOOKUP(B509,'2-Kosten per locatie'!$A$12:$C$23,3,FALSE)</f>
        <v>0</v>
      </c>
      <c r="Q509" s="74">
        <f t="shared" si="46"/>
        <v>0</v>
      </c>
      <c r="R509" s="75" t="str">
        <f>VLOOKUP(H509,'3-Productie normen'!A:L,12,FALSE)</f>
        <v>V</v>
      </c>
      <c r="S509" s="75"/>
      <c r="U509" s="41">
        <f t="shared" si="47"/>
        <v>6120</v>
      </c>
    </row>
    <row r="510" spans="1:21" ht="14.1" customHeight="1">
      <c r="A510" s="54">
        <f t="shared" si="42"/>
        <v>510</v>
      </c>
      <c r="B510" s="70" t="s">
        <v>527</v>
      </c>
      <c r="C510" s="70"/>
      <c r="D510" s="416" t="s">
        <v>528</v>
      </c>
      <c r="E510" s="416" t="s">
        <v>89</v>
      </c>
      <c r="F510" s="71" t="s">
        <v>327</v>
      </c>
      <c r="G510" s="40" t="s">
        <v>549</v>
      </c>
      <c r="H510" s="40" t="s">
        <v>232</v>
      </c>
      <c r="I510" s="40" t="s">
        <v>91</v>
      </c>
      <c r="J510" s="460">
        <v>18.899999999999999</v>
      </c>
      <c r="K510" s="371">
        <f t="shared" si="43"/>
        <v>200</v>
      </c>
      <c r="L510" s="72">
        <v>200</v>
      </c>
      <c r="M510" s="72"/>
      <c r="N510" s="73" t="e">
        <f t="shared" si="44"/>
        <v>#DIV/0!</v>
      </c>
      <c r="O510" s="73">
        <f t="shared" si="45"/>
        <v>0</v>
      </c>
      <c r="P510" s="74">
        <f>IF(L510="nio",0,IF(L510&gt;0,VLOOKUP(H510,'3-Productie normen'!A:J,VLOOKUP(L510,'3-Productie normen'!$B$33:$C$38,2,FALSE),FALSE)))/VLOOKUP(B510,'2-Kosten per locatie'!$A$12:$C$23,3,FALSE)</f>
        <v>0</v>
      </c>
      <c r="Q510" s="74">
        <f t="shared" si="46"/>
        <v>0</v>
      </c>
      <c r="R510" s="75" t="str">
        <f>VLOOKUP(H510,'3-Productie normen'!A:L,12,FALSE)</f>
        <v>V</v>
      </c>
      <c r="S510" s="75"/>
      <c r="U510" s="41">
        <f t="shared" si="47"/>
        <v>3779.9999999999995</v>
      </c>
    </row>
    <row r="511" spans="1:21" ht="14.1" customHeight="1">
      <c r="A511" s="54">
        <f t="shared" si="42"/>
        <v>511</v>
      </c>
      <c r="B511" s="70" t="s">
        <v>527</v>
      </c>
      <c r="C511" s="70"/>
      <c r="D511" s="416" t="s">
        <v>528</v>
      </c>
      <c r="E511" s="416" t="s">
        <v>89</v>
      </c>
      <c r="F511" s="71" t="s">
        <v>328</v>
      </c>
      <c r="G511" s="40" t="s">
        <v>257</v>
      </c>
      <c r="H511" s="40" t="s">
        <v>17</v>
      </c>
      <c r="I511" s="40" t="s">
        <v>536</v>
      </c>
      <c r="J511" s="460">
        <v>7.45</v>
      </c>
      <c r="K511" s="371">
        <f t="shared" si="43"/>
        <v>200</v>
      </c>
      <c r="L511" s="72">
        <v>200</v>
      </c>
      <c r="M511" s="72"/>
      <c r="N511" s="73" t="e">
        <f t="shared" si="44"/>
        <v>#DIV/0!</v>
      </c>
      <c r="O511" s="73">
        <f t="shared" si="45"/>
        <v>0</v>
      </c>
      <c r="P511" s="74">
        <f>IF(L511="nio",0,IF(L511&gt;0,VLOOKUP(H511,'3-Productie normen'!A:J,VLOOKUP(L511,'3-Productie normen'!$B$33:$C$38,2,FALSE),FALSE)))/VLOOKUP(B511,'2-Kosten per locatie'!$A$12:$C$23,3,FALSE)</f>
        <v>0</v>
      </c>
      <c r="Q511" s="74">
        <f t="shared" si="46"/>
        <v>0</v>
      </c>
      <c r="R511" s="75" t="str">
        <f>VLOOKUP(H511,'3-Productie normen'!A:L,12,FALSE)</f>
        <v>S</v>
      </c>
      <c r="S511" s="75"/>
      <c r="U511" s="41">
        <f t="shared" si="47"/>
        <v>1490</v>
      </c>
    </row>
    <row r="512" spans="1:21" ht="14.1" customHeight="1">
      <c r="A512" s="54">
        <f t="shared" si="42"/>
        <v>512</v>
      </c>
      <c r="B512" s="70" t="s">
        <v>527</v>
      </c>
      <c r="C512" s="70"/>
      <c r="D512" s="416" t="s">
        <v>528</v>
      </c>
      <c r="E512" s="416" t="s">
        <v>89</v>
      </c>
      <c r="F512" s="71" t="s">
        <v>329</v>
      </c>
      <c r="G512" s="40" t="s">
        <v>257</v>
      </c>
      <c r="H512" s="40" t="s">
        <v>17</v>
      </c>
      <c r="I512" s="40" t="s">
        <v>536</v>
      </c>
      <c r="J512" s="460">
        <v>7.47</v>
      </c>
      <c r="K512" s="371">
        <f t="shared" si="43"/>
        <v>200</v>
      </c>
      <c r="L512" s="72">
        <v>200</v>
      </c>
      <c r="M512" s="72"/>
      <c r="N512" s="73" t="e">
        <f t="shared" si="44"/>
        <v>#DIV/0!</v>
      </c>
      <c r="O512" s="73">
        <f t="shared" si="45"/>
        <v>0</v>
      </c>
      <c r="P512" s="74">
        <f>IF(L512="nio",0,IF(L512&gt;0,VLOOKUP(H512,'3-Productie normen'!A:J,VLOOKUP(L512,'3-Productie normen'!$B$33:$C$38,2,FALSE),FALSE)))/VLOOKUP(B512,'2-Kosten per locatie'!$A$12:$C$23,3,FALSE)</f>
        <v>0</v>
      </c>
      <c r="Q512" s="74">
        <f t="shared" si="46"/>
        <v>0</v>
      </c>
      <c r="R512" s="75" t="str">
        <f>VLOOKUP(H512,'3-Productie normen'!A:L,12,FALSE)</f>
        <v>S</v>
      </c>
      <c r="S512" s="75"/>
      <c r="U512" s="41">
        <f t="shared" si="47"/>
        <v>1494</v>
      </c>
    </row>
    <row r="513" spans="1:21" ht="14.1" customHeight="1">
      <c r="A513" s="54">
        <f t="shared" si="42"/>
        <v>513</v>
      </c>
      <c r="B513" s="70" t="s">
        <v>527</v>
      </c>
      <c r="C513" s="70"/>
      <c r="D513" s="416" t="s">
        <v>528</v>
      </c>
      <c r="E513" s="416" t="s">
        <v>89</v>
      </c>
      <c r="F513" s="71" t="s">
        <v>330</v>
      </c>
      <c r="G513" s="77" t="s">
        <v>550</v>
      </c>
      <c r="H513" s="77" t="s">
        <v>176</v>
      </c>
      <c r="I513" s="40" t="s">
        <v>536</v>
      </c>
      <c r="J513" s="460">
        <v>3.9</v>
      </c>
      <c r="K513" s="371">
        <f t="shared" si="43"/>
        <v>200</v>
      </c>
      <c r="L513" s="72">
        <v>200</v>
      </c>
      <c r="M513" s="72"/>
      <c r="N513" s="73" t="e">
        <f t="shared" si="44"/>
        <v>#DIV/0!</v>
      </c>
      <c r="O513" s="73">
        <f t="shared" si="45"/>
        <v>0</v>
      </c>
      <c r="P513" s="74">
        <f>IF(L513="nio",0,IF(L513&gt;0,VLOOKUP(H513,'3-Productie normen'!A:J,VLOOKUP(L513,'3-Productie normen'!$B$33:$C$38,2,FALSE),FALSE)))/VLOOKUP(B513,'2-Kosten per locatie'!$A$12:$C$23,3,FALSE)</f>
        <v>0</v>
      </c>
      <c r="Q513" s="74">
        <f t="shared" si="46"/>
        <v>0</v>
      </c>
      <c r="R513" s="75" t="str">
        <f>VLOOKUP(H513,'3-Productie normen'!A:L,12,FALSE)</f>
        <v>B</v>
      </c>
      <c r="S513" s="75"/>
      <c r="U513" s="41">
        <f t="shared" si="47"/>
        <v>780</v>
      </c>
    </row>
    <row r="514" spans="1:21" ht="14.1" customHeight="1">
      <c r="A514" s="54">
        <f t="shared" si="42"/>
        <v>514</v>
      </c>
      <c r="B514" s="70" t="s">
        <v>527</v>
      </c>
      <c r="C514" s="70"/>
      <c r="D514" s="416" t="s">
        <v>528</v>
      </c>
      <c r="E514" s="416" t="s">
        <v>89</v>
      </c>
      <c r="F514" s="71" t="s">
        <v>331</v>
      </c>
      <c r="G514" s="40" t="s">
        <v>263</v>
      </c>
      <c r="H514" s="40" t="s">
        <v>176</v>
      </c>
      <c r="I514" s="78" t="s">
        <v>536</v>
      </c>
      <c r="J514" s="460">
        <v>3.98</v>
      </c>
      <c r="K514" s="371">
        <f t="shared" si="43"/>
        <v>200</v>
      </c>
      <c r="L514" s="72">
        <v>200</v>
      </c>
      <c r="M514" s="72"/>
      <c r="N514" s="73" t="e">
        <f t="shared" si="44"/>
        <v>#DIV/0!</v>
      </c>
      <c r="O514" s="73">
        <f t="shared" si="45"/>
        <v>0</v>
      </c>
      <c r="P514" s="74">
        <f>IF(L514="nio",0,IF(L514&gt;0,VLOOKUP(H514,'3-Productie normen'!A:J,VLOOKUP(L514,'3-Productie normen'!$B$33:$C$38,2,FALSE),FALSE)))/VLOOKUP(B514,'2-Kosten per locatie'!$A$12:$C$23,3,FALSE)</f>
        <v>0</v>
      </c>
      <c r="Q514" s="74">
        <f t="shared" si="46"/>
        <v>0</v>
      </c>
      <c r="R514" s="75" t="str">
        <f>VLOOKUP(H514,'3-Productie normen'!A:L,12,FALSE)</f>
        <v>B</v>
      </c>
      <c r="S514" s="75"/>
      <c r="U514" s="41">
        <f t="shared" si="47"/>
        <v>796</v>
      </c>
    </row>
    <row r="515" spans="1:21" ht="14.1" customHeight="1">
      <c r="A515" s="54">
        <f t="shared" ref="A515:A578" si="48">A514+1</f>
        <v>515</v>
      </c>
      <c r="B515" s="70" t="s">
        <v>527</v>
      </c>
      <c r="C515" s="70"/>
      <c r="D515" s="416" t="s">
        <v>528</v>
      </c>
      <c r="E515" s="416" t="s">
        <v>89</v>
      </c>
      <c r="F515" s="71" t="s">
        <v>332</v>
      </c>
      <c r="G515" s="70" t="s">
        <v>236</v>
      </c>
      <c r="H515" s="70" t="s">
        <v>236</v>
      </c>
      <c r="I515" s="40" t="s">
        <v>538</v>
      </c>
      <c r="J515" s="460">
        <v>343</v>
      </c>
      <c r="K515" s="371">
        <f t="shared" si="43"/>
        <v>200</v>
      </c>
      <c r="L515" s="72">
        <v>200</v>
      </c>
      <c r="M515" s="72"/>
      <c r="N515" s="73" t="e">
        <f t="shared" si="44"/>
        <v>#DIV/0!</v>
      </c>
      <c r="O515" s="73">
        <f t="shared" si="45"/>
        <v>0</v>
      </c>
      <c r="P515" s="74">
        <f>IF(L515="nio",0,IF(L515&gt;0,VLOOKUP(H515,'3-Productie normen'!A:J,VLOOKUP(L515,'3-Productie normen'!$B$33:$C$38,2,FALSE),FALSE)))/VLOOKUP(B515,'2-Kosten per locatie'!$A$12:$C$23,3,FALSE)</f>
        <v>0</v>
      </c>
      <c r="Q515" s="74">
        <f t="shared" si="46"/>
        <v>0</v>
      </c>
      <c r="R515" s="75" t="str">
        <f>VLOOKUP(H515,'3-Productie normen'!A:L,12,FALSE)</f>
        <v>V</v>
      </c>
      <c r="S515" s="75"/>
      <c r="U515" s="41">
        <f t="shared" si="47"/>
        <v>68600</v>
      </c>
    </row>
    <row r="516" spans="1:21" ht="14.1" customHeight="1">
      <c r="A516" s="54">
        <f t="shared" si="48"/>
        <v>516</v>
      </c>
      <c r="B516" s="70" t="s">
        <v>527</v>
      </c>
      <c r="C516" s="70"/>
      <c r="D516" s="416" t="s">
        <v>528</v>
      </c>
      <c r="E516" s="416" t="s">
        <v>89</v>
      </c>
      <c r="F516" s="71" t="s">
        <v>333</v>
      </c>
      <c r="G516" s="70" t="s">
        <v>268</v>
      </c>
      <c r="H516" s="70" t="s">
        <v>232</v>
      </c>
      <c r="I516" s="40" t="s">
        <v>346</v>
      </c>
      <c r="J516" s="460">
        <v>21.14</v>
      </c>
      <c r="K516" s="371">
        <f t="shared" si="43"/>
        <v>200</v>
      </c>
      <c r="L516" s="72">
        <v>200</v>
      </c>
      <c r="M516" s="72"/>
      <c r="N516" s="73" t="e">
        <f t="shared" si="44"/>
        <v>#DIV/0!</v>
      </c>
      <c r="O516" s="73">
        <f t="shared" si="45"/>
        <v>0</v>
      </c>
      <c r="P516" s="74">
        <f>IF(L516="nio",0,IF(L516&gt;0,VLOOKUP(H516,'3-Productie normen'!A:J,VLOOKUP(L516,'3-Productie normen'!$B$33:$C$38,2,FALSE),FALSE)))/VLOOKUP(B516,'2-Kosten per locatie'!$A$12:$C$23,3,FALSE)</f>
        <v>0</v>
      </c>
      <c r="Q516" s="74">
        <f t="shared" si="46"/>
        <v>0</v>
      </c>
      <c r="R516" s="75" t="str">
        <f>VLOOKUP(H516,'3-Productie normen'!A:L,12,FALSE)</f>
        <v>V</v>
      </c>
      <c r="S516" s="75"/>
      <c r="U516" s="41">
        <f t="shared" si="47"/>
        <v>4228</v>
      </c>
    </row>
    <row r="517" spans="1:21" ht="14.1" customHeight="1">
      <c r="A517" s="54">
        <f t="shared" si="48"/>
        <v>517</v>
      </c>
      <c r="B517" s="70" t="s">
        <v>527</v>
      </c>
      <c r="C517" s="70"/>
      <c r="D517" s="416" t="s">
        <v>528</v>
      </c>
      <c r="E517" s="416" t="s">
        <v>89</v>
      </c>
      <c r="F517" s="71" t="s">
        <v>551</v>
      </c>
      <c r="G517" s="70" t="s">
        <v>218</v>
      </c>
      <c r="H517" s="70" t="s">
        <v>232</v>
      </c>
      <c r="I517" s="40" t="s">
        <v>346</v>
      </c>
      <c r="J517" s="460">
        <v>1.56</v>
      </c>
      <c r="K517" s="371">
        <f t="shared" si="43"/>
        <v>200</v>
      </c>
      <c r="L517" s="72">
        <v>200</v>
      </c>
      <c r="M517" s="72"/>
      <c r="N517" s="73" t="e">
        <f t="shared" si="44"/>
        <v>#DIV/0!</v>
      </c>
      <c r="O517" s="73">
        <f t="shared" si="45"/>
        <v>0</v>
      </c>
      <c r="P517" s="74">
        <f>IF(L517="nio",0,IF(L517&gt;0,VLOOKUP(H517,'3-Productie normen'!A:J,VLOOKUP(L517,'3-Productie normen'!$B$33:$C$38,2,FALSE),FALSE)))/VLOOKUP(B517,'2-Kosten per locatie'!$A$12:$C$23,3,FALSE)</f>
        <v>0</v>
      </c>
      <c r="Q517" s="74">
        <f t="shared" si="46"/>
        <v>0</v>
      </c>
      <c r="R517" s="75" t="str">
        <f>VLOOKUP(H517,'3-Productie normen'!A:L,12,FALSE)</f>
        <v>V</v>
      </c>
      <c r="S517" s="75"/>
      <c r="U517" s="41">
        <f t="shared" si="47"/>
        <v>312</v>
      </c>
    </row>
    <row r="518" spans="1:21" ht="14.1" customHeight="1">
      <c r="A518" s="54">
        <f t="shared" si="48"/>
        <v>518</v>
      </c>
      <c r="B518" s="70" t="s">
        <v>527</v>
      </c>
      <c r="C518" s="70"/>
      <c r="D518" s="416" t="s">
        <v>528</v>
      </c>
      <c r="E518" s="416" t="s">
        <v>89</v>
      </c>
      <c r="F518" s="71" t="s">
        <v>334</v>
      </c>
      <c r="G518" s="40" t="s">
        <v>552</v>
      </c>
      <c r="H518" s="40" t="s">
        <v>232</v>
      </c>
      <c r="I518" s="40"/>
      <c r="J518" s="460">
        <v>0</v>
      </c>
      <c r="K518" s="371">
        <f t="shared" si="43"/>
        <v>200</v>
      </c>
      <c r="L518" s="72">
        <v>200</v>
      </c>
      <c r="M518" s="72"/>
      <c r="N518" s="73" t="e">
        <f t="shared" si="44"/>
        <v>#DIV/0!</v>
      </c>
      <c r="O518" s="73">
        <f t="shared" si="45"/>
        <v>0</v>
      </c>
      <c r="P518" s="74">
        <f>IF(L518="nio",0,IF(L518&gt;0,VLOOKUP(H518,'3-Productie normen'!A:J,VLOOKUP(L518,'3-Productie normen'!$B$33:$C$38,2,FALSE),FALSE)))/VLOOKUP(B518,'2-Kosten per locatie'!$A$12:$C$23,3,FALSE)</f>
        <v>0</v>
      </c>
      <c r="Q518" s="74">
        <f t="shared" si="46"/>
        <v>0</v>
      </c>
      <c r="R518" s="75" t="str">
        <f>VLOOKUP(H518,'3-Productie normen'!A:L,12,FALSE)</f>
        <v>V</v>
      </c>
      <c r="S518" s="75"/>
      <c r="U518" s="41">
        <f t="shared" si="47"/>
        <v>0</v>
      </c>
    </row>
    <row r="519" spans="1:21" ht="14.1" customHeight="1">
      <c r="A519" s="54">
        <f t="shared" si="48"/>
        <v>519</v>
      </c>
      <c r="B519" s="70" t="s">
        <v>527</v>
      </c>
      <c r="C519" s="70"/>
      <c r="D519" s="416" t="s">
        <v>528</v>
      </c>
      <c r="E519" s="416" t="s">
        <v>89</v>
      </c>
      <c r="F519" s="71" t="s">
        <v>335</v>
      </c>
      <c r="G519" s="40" t="s">
        <v>553</v>
      </c>
      <c r="H519" s="40" t="s">
        <v>236</v>
      </c>
      <c r="I519" s="40" t="s">
        <v>93</v>
      </c>
      <c r="J519" s="460">
        <v>16</v>
      </c>
      <c r="K519" s="371">
        <f t="shared" si="43"/>
        <v>200</v>
      </c>
      <c r="L519" s="72">
        <v>200</v>
      </c>
      <c r="M519" s="72"/>
      <c r="N519" s="73" t="e">
        <f t="shared" si="44"/>
        <v>#DIV/0!</v>
      </c>
      <c r="O519" s="73">
        <f t="shared" si="45"/>
        <v>0</v>
      </c>
      <c r="P519" s="74">
        <f>IF(L519="nio",0,IF(L519&gt;0,VLOOKUP(H519,'3-Productie normen'!A:J,VLOOKUP(L519,'3-Productie normen'!$B$33:$C$38,2,FALSE),FALSE)))/VLOOKUP(B519,'2-Kosten per locatie'!$A$12:$C$23,3,FALSE)</f>
        <v>0</v>
      </c>
      <c r="Q519" s="74">
        <f t="shared" si="46"/>
        <v>0</v>
      </c>
      <c r="R519" s="75" t="str">
        <f>VLOOKUP(H519,'3-Productie normen'!A:L,12,FALSE)</f>
        <v>V</v>
      </c>
      <c r="S519" s="75"/>
      <c r="U519" s="41">
        <f t="shared" si="47"/>
        <v>3200</v>
      </c>
    </row>
    <row r="520" spans="1:21" ht="14.1" customHeight="1">
      <c r="A520" s="54">
        <f t="shared" si="48"/>
        <v>520</v>
      </c>
      <c r="B520" s="70" t="s">
        <v>527</v>
      </c>
      <c r="C520" s="70"/>
      <c r="D520" s="416" t="s">
        <v>528</v>
      </c>
      <c r="E520" s="416" t="s">
        <v>89</v>
      </c>
      <c r="F520" s="71" t="s">
        <v>336</v>
      </c>
      <c r="G520" s="40" t="s">
        <v>554</v>
      </c>
      <c r="H520" s="40" t="s">
        <v>232</v>
      </c>
      <c r="I520" s="40" t="s">
        <v>93</v>
      </c>
      <c r="J520" s="460">
        <v>3</v>
      </c>
      <c r="K520" s="371">
        <f t="shared" si="43"/>
        <v>200</v>
      </c>
      <c r="L520" s="72">
        <v>200</v>
      </c>
      <c r="M520" s="72"/>
      <c r="N520" s="73" t="e">
        <f t="shared" si="44"/>
        <v>#DIV/0!</v>
      </c>
      <c r="O520" s="73">
        <f t="shared" si="45"/>
        <v>0</v>
      </c>
      <c r="P520" s="74">
        <f>IF(L520="nio",0,IF(L520&gt;0,VLOOKUP(H520,'3-Productie normen'!A:J,VLOOKUP(L520,'3-Productie normen'!$B$33:$C$38,2,FALSE),FALSE)))/VLOOKUP(B520,'2-Kosten per locatie'!$A$12:$C$23,3,FALSE)</f>
        <v>0</v>
      </c>
      <c r="Q520" s="74">
        <f t="shared" si="46"/>
        <v>0</v>
      </c>
      <c r="R520" s="75" t="str">
        <f>VLOOKUP(H520,'3-Productie normen'!A:L,12,FALSE)</f>
        <v>V</v>
      </c>
      <c r="S520" s="75"/>
      <c r="U520" s="41">
        <f t="shared" si="47"/>
        <v>600</v>
      </c>
    </row>
    <row r="521" spans="1:21" ht="14.1" customHeight="1">
      <c r="A521" s="54">
        <f t="shared" si="48"/>
        <v>521</v>
      </c>
      <c r="B521" s="70" t="s">
        <v>527</v>
      </c>
      <c r="C521" s="70"/>
      <c r="D521" s="416" t="s">
        <v>528</v>
      </c>
      <c r="E521" s="416" t="s">
        <v>89</v>
      </c>
      <c r="F521" s="71" t="s">
        <v>337</v>
      </c>
      <c r="G521" s="40" t="s">
        <v>555</v>
      </c>
      <c r="H521" s="40" t="s">
        <v>232</v>
      </c>
      <c r="I521" s="40" t="s">
        <v>93</v>
      </c>
      <c r="J521" s="460">
        <v>15</v>
      </c>
      <c r="K521" s="371">
        <f t="shared" si="43"/>
        <v>200</v>
      </c>
      <c r="L521" s="72">
        <v>200</v>
      </c>
      <c r="M521" s="72"/>
      <c r="N521" s="73" t="e">
        <f t="shared" si="44"/>
        <v>#DIV/0!</v>
      </c>
      <c r="O521" s="73">
        <f t="shared" si="45"/>
        <v>0</v>
      </c>
      <c r="P521" s="74">
        <f>IF(L521="nio",0,IF(L521&gt;0,VLOOKUP(H521,'3-Productie normen'!A:J,VLOOKUP(L521,'3-Productie normen'!$B$33:$C$38,2,FALSE),FALSE)))/VLOOKUP(B521,'2-Kosten per locatie'!$A$12:$C$23,3,FALSE)</f>
        <v>0</v>
      </c>
      <c r="Q521" s="74">
        <f t="shared" si="46"/>
        <v>0</v>
      </c>
      <c r="R521" s="75" t="str">
        <f>VLOOKUP(H521,'3-Productie normen'!A:L,12,FALSE)</f>
        <v>V</v>
      </c>
      <c r="S521" s="75"/>
      <c r="U521" s="41">
        <f t="shared" si="47"/>
        <v>3000</v>
      </c>
    </row>
    <row r="522" spans="1:21" ht="14.1" customHeight="1">
      <c r="A522" s="54">
        <f t="shared" si="48"/>
        <v>522</v>
      </c>
      <c r="B522" s="70" t="s">
        <v>527</v>
      </c>
      <c r="C522" s="70"/>
      <c r="D522" s="416" t="s">
        <v>528</v>
      </c>
      <c r="E522" s="416" t="s">
        <v>89</v>
      </c>
      <c r="F522" s="71" t="s">
        <v>338</v>
      </c>
      <c r="G522" s="77" t="s">
        <v>556</v>
      </c>
      <c r="H522" s="40" t="s">
        <v>233</v>
      </c>
      <c r="I522" s="40" t="s">
        <v>91</v>
      </c>
      <c r="J522" s="460">
        <v>46</v>
      </c>
      <c r="K522" s="371">
        <f t="shared" ref="K522:K585" si="49">SUM(L522:M522)</f>
        <v>200</v>
      </c>
      <c r="L522" s="72">
        <v>200</v>
      </c>
      <c r="M522" s="72"/>
      <c r="N522" s="73" t="e">
        <f t="shared" ref="N522:N585" si="50">IF(L522="nio",0,IF(L522&gt;0,L522*J522/P522,0))</f>
        <v>#DIV/0!</v>
      </c>
      <c r="O522" s="73">
        <f t="shared" ref="O522:O585" si="51">IF(M522&gt;0,M522*J522/Q522,0)</f>
        <v>0</v>
      </c>
      <c r="P522" s="74">
        <f>IF(L522="nio",0,IF(L522&gt;0,VLOOKUP(H522,'3-Productie normen'!A:J,VLOOKUP(L522,'3-Productie normen'!$B$33:$C$38,2,FALSE),FALSE)))/VLOOKUP(B522,'2-Kosten per locatie'!$A$12:$C$23,3,FALSE)</f>
        <v>0</v>
      </c>
      <c r="Q522" s="74">
        <f t="shared" ref="Q522:Q585" si="52">IF(M522&gt;0,P522*$Q$8,0)</f>
        <v>0</v>
      </c>
      <c r="R522" s="75" t="str">
        <f>VLOOKUP(H522,'3-Productie normen'!A:L,12,FALSE)</f>
        <v>L</v>
      </c>
      <c r="S522" s="75"/>
      <c r="U522" s="41">
        <f t="shared" ref="U522:U585" si="53">K522*J522</f>
        <v>9200</v>
      </c>
    </row>
    <row r="523" spans="1:21" ht="14.1" customHeight="1">
      <c r="A523" s="54">
        <f t="shared" si="48"/>
        <v>523</v>
      </c>
      <c r="B523" s="70" t="s">
        <v>527</v>
      </c>
      <c r="C523" s="70"/>
      <c r="D523" s="416" t="s">
        <v>528</v>
      </c>
      <c r="E523" s="416" t="s">
        <v>89</v>
      </c>
      <c r="F523" s="71" t="s">
        <v>339</v>
      </c>
      <c r="G523" s="40" t="s">
        <v>268</v>
      </c>
      <c r="H523" s="40" t="s">
        <v>232</v>
      </c>
      <c r="I523" s="78" t="s">
        <v>346</v>
      </c>
      <c r="J523" s="460">
        <v>52.1</v>
      </c>
      <c r="K523" s="371">
        <f t="shared" si="49"/>
        <v>200</v>
      </c>
      <c r="L523" s="72">
        <v>200</v>
      </c>
      <c r="M523" s="72"/>
      <c r="N523" s="73" t="e">
        <f t="shared" si="50"/>
        <v>#DIV/0!</v>
      </c>
      <c r="O523" s="73">
        <f t="shared" si="51"/>
        <v>0</v>
      </c>
      <c r="P523" s="74">
        <f>IF(L523="nio",0,IF(L523&gt;0,VLOOKUP(H523,'3-Productie normen'!A:J,VLOOKUP(L523,'3-Productie normen'!$B$33:$C$38,2,FALSE),FALSE)))/VLOOKUP(B523,'2-Kosten per locatie'!$A$12:$C$23,3,FALSE)</f>
        <v>0</v>
      </c>
      <c r="Q523" s="74">
        <f t="shared" si="52"/>
        <v>0</v>
      </c>
      <c r="R523" s="75" t="str">
        <f>VLOOKUP(H523,'3-Productie normen'!A:L,12,FALSE)</f>
        <v>V</v>
      </c>
      <c r="S523" s="75"/>
      <c r="U523" s="41">
        <f t="shared" si="53"/>
        <v>10420</v>
      </c>
    </row>
    <row r="524" spans="1:21" ht="14.1" customHeight="1">
      <c r="A524" s="54">
        <f t="shared" si="48"/>
        <v>524</v>
      </c>
      <c r="B524" s="70" t="s">
        <v>527</v>
      </c>
      <c r="C524" s="70"/>
      <c r="D524" s="416" t="s">
        <v>528</v>
      </c>
      <c r="E524" s="416" t="s">
        <v>89</v>
      </c>
      <c r="F524" s="79" t="s">
        <v>340</v>
      </c>
      <c r="G524" s="80" t="s">
        <v>557</v>
      </c>
      <c r="H524" s="80" t="s">
        <v>235</v>
      </c>
      <c r="I524" s="40" t="s">
        <v>536</v>
      </c>
      <c r="J524" s="460">
        <v>5.9</v>
      </c>
      <c r="K524" s="371">
        <f t="shared" si="49"/>
        <v>200</v>
      </c>
      <c r="L524" s="72">
        <v>200</v>
      </c>
      <c r="M524" s="72"/>
      <c r="N524" s="73" t="e">
        <f t="shared" si="50"/>
        <v>#DIV/0!</v>
      </c>
      <c r="O524" s="73">
        <f t="shared" si="51"/>
        <v>0</v>
      </c>
      <c r="P524" s="74">
        <f>IF(L524="nio",0,IF(L524&gt;0,VLOOKUP(H524,'3-Productie normen'!A:J,VLOOKUP(L524,'3-Productie normen'!$B$33:$C$38,2,FALSE),FALSE)))/VLOOKUP(B524,'2-Kosten per locatie'!$A$12:$C$23,3,FALSE)</f>
        <v>0</v>
      </c>
      <c r="Q524" s="74">
        <f t="shared" si="52"/>
        <v>0</v>
      </c>
      <c r="R524" s="75" t="str">
        <f>VLOOKUP(H524,'3-Productie normen'!A:L,12,FALSE)</f>
        <v>S</v>
      </c>
      <c r="S524" s="75"/>
      <c r="U524" s="41">
        <f t="shared" si="53"/>
        <v>1180</v>
      </c>
    </row>
    <row r="525" spans="1:21" ht="14.1" customHeight="1">
      <c r="A525" s="54">
        <f t="shared" si="48"/>
        <v>525</v>
      </c>
      <c r="B525" s="70" t="s">
        <v>527</v>
      </c>
      <c r="C525" s="70"/>
      <c r="D525" s="416" t="s">
        <v>528</v>
      </c>
      <c r="E525" s="416" t="s">
        <v>89</v>
      </c>
      <c r="F525" s="71" t="s">
        <v>341</v>
      </c>
      <c r="G525" s="40" t="s">
        <v>458</v>
      </c>
      <c r="H525" s="40" t="s">
        <v>1</v>
      </c>
      <c r="I525" s="40" t="s">
        <v>536</v>
      </c>
      <c r="J525" s="460">
        <v>25.8</v>
      </c>
      <c r="K525" s="371">
        <f t="shared" si="49"/>
        <v>200</v>
      </c>
      <c r="L525" s="72">
        <v>200</v>
      </c>
      <c r="M525" s="72"/>
      <c r="N525" s="73" t="e">
        <f t="shared" si="50"/>
        <v>#DIV/0!</v>
      </c>
      <c r="O525" s="73">
        <f t="shared" si="51"/>
        <v>0</v>
      </c>
      <c r="P525" s="74">
        <f>IF(L525="nio",0,IF(L525&gt;0,VLOOKUP(H525,'3-Productie normen'!A:J,VLOOKUP(L525,'3-Productie normen'!$B$33:$C$38,2,FALSE),FALSE)))/VLOOKUP(B525,'2-Kosten per locatie'!$A$12:$C$23,3,FALSE)</f>
        <v>0</v>
      </c>
      <c r="Q525" s="74">
        <f t="shared" si="52"/>
        <v>0</v>
      </c>
      <c r="R525" s="75" t="str">
        <f>VLOOKUP(H525,'3-Productie normen'!A:L,12,FALSE)</f>
        <v>V</v>
      </c>
      <c r="S525" s="75"/>
      <c r="U525" s="41">
        <f t="shared" si="53"/>
        <v>5160</v>
      </c>
    </row>
    <row r="526" spans="1:21" ht="14.1" customHeight="1">
      <c r="A526" s="54">
        <f t="shared" si="48"/>
        <v>526</v>
      </c>
      <c r="B526" s="70" t="s">
        <v>527</v>
      </c>
      <c r="C526" s="70"/>
      <c r="D526" s="416" t="s">
        <v>528</v>
      </c>
      <c r="E526" s="416" t="s">
        <v>89</v>
      </c>
      <c r="F526" s="71" t="s">
        <v>342</v>
      </c>
      <c r="G526" s="70" t="s">
        <v>557</v>
      </c>
      <c r="H526" s="70" t="s">
        <v>235</v>
      </c>
      <c r="I526" s="40" t="s">
        <v>536</v>
      </c>
      <c r="J526" s="460">
        <v>5.9</v>
      </c>
      <c r="K526" s="371">
        <f t="shared" si="49"/>
        <v>200</v>
      </c>
      <c r="L526" s="72">
        <v>200</v>
      </c>
      <c r="M526" s="72"/>
      <c r="N526" s="73" t="e">
        <f t="shared" si="50"/>
        <v>#DIV/0!</v>
      </c>
      <c r="O526" s="73">
        <f t="shared" si="51"/>
        <v>0</v>
      </c>
      <c r="P526" s="74">
        <f>IF(L526="nio",0,IF(L526&gt;0,VLOOKUP(H526,'3-Productie normen'!A:J,VLOOKUP(L526,'3-Productie normen'!$B$33:$C$38,2,FALSE),FALSE)))/VLOOKUP(B526,'2-Kosten per locatie'!$A$12:$C$23,3,FALSE)</f>
        <v>0</v>
      </c>
      <c r="Q526" s="74">
        <f t="shared" si="52"/>
        <v>0</v>
      </c>
      <c r="R526" s="75" t="str">
        <f>VLOOKUP(H526,'3-Productie normen'!A:L,12,FALSE)</f>
        <v>S</v>
      </c>
      <c r="S526" s="75"/>
      <c r="U526" s="41">
        <f t="shared" si="53"/>
        <v>1180</v>
      </c>
    </row>
    <row r="527" spans="1:21" ht="14.1" customHeight="1">
      <c r="A527" s="54">
        <f t="shared" si="48"/>
        <v>527</v>
      </c>
      <c r="B527" s="70" t="s">
        <v>527</v>
      </c>
      <c r="C527" s="70"/>
      <c r="D527" s="416" t="s">
        <v>528</v>
      </c>
      <c r="E527" s="416" t="s">
        <v>89</v>
      </c>
      <c r="F527" s="71" t="s">
        <v>343</v>
      </c>
      <c r="G527" s="70" t="s">
        <v>458</v>
      </c>
      <c r="H527" s="70" t="s">
        <v>1</v>
      </c>
      <c r="I527" s="40" t="s">
        <v>536</v>
      </c>
      <c r="J527" s="460">
        <v>25.8</v>
      </c>
      <c r="K527" s="371">
        <f t="shared" si="49"/>
        <v>200</v>
      </c>
      <c r="L527" s="72">
        <v>200</v>
      </c>
      <c r="M527" s="72"/>
      <c r="N527" s="73" t="e">
        <f t="shared" si="50"/>
        <v>#DIV/0!</v>
      </c>
      <c r="O527" s="73">
        <f t="shared" si="51"/>
        <v>0</v>
      </c>
      <c r="P527" s="74">
        <f>IF(L527="nio",0,IF(L527&gt;0,VLOOKUP(H527,'3-Productie normen'!A:J,VLOOKUP(L527,'3-Productie normen'!$B$33:$C$38,2,FALSE),FALSE)))/VLOOKUP(B527,'2-Kosten per locatie'!$A$12:$C$23,3,FALSE)</f>
        <v>0</v>
      </c>
      <c r="Q527" s="74">
        <f t="shared" si="52"/>
        <v>0</v>
      </c>
      <c r="R527" s="75" t="str">
        <f>VLOOKUP(H527,'3-Productie normen'!A:L,12,FALSE)</f>
        <v>V</v>
      </c>
      <c r="S527" s="75"/>
      <c r="U527" s="41">
        <f t="shared" si="53"/>
        <v>5160</v>
      </c>
    </row>
    <row r="528" spans="1:21" ht="14.1" customHeight="1">
      <c r="A528" s="54">
        <f t="shared" si="48"/>
        <v>528</v>
      </c>
      <c r="B528" s="70" t="s">
        <v>527</v>
      </c>
      <c r="C528" s="70"/>
      <c r="D528" s="416" t="s">
        <v>528</v>
      </c>
      <c r="E528" s="416" t="s">
        <v>89</v>
      </c>
      <c r="F528" s="71" t="s">
        <v>344</v>
      </c>
      <c r="G528" s="70" t="s">
        <v>557</v>
      </c>
      <c r="H528" s="70" t="s">
        <v>235</v>
      </c>
      <c r="I528" s="40" t="s">
        <v>536</v>
      </c>
      <c r="J528" s="460">
        <v>5.9</v>
      </c>
      <c r="K528" s="371">
        <f t="shared" si="49"/>
        <v>200</v>
      </c>
      <c r="L528" s="72">
        <v>200</v>
      </c>
      <c r="M528" s="72"/>
      <c r="N528" s="73" t="e">
        <f t="shared" si="50"/>
        <v>#DIV/0!</v>
      </c>
      <c r="O528" s="73">
        <f t="shared" si="51"/>
        <v>0</v>
      </c>
      <c r="P528" s="74">
        <f>IF(L528="nio",0,IF(L528&gt;0,VLOOKUP(H528,'3-Productie normen'!A:J,VLOOKUP(L528,'3-Productie normen'!$B$33:$C$38,2,FALSE),FALSE)))/VLOOKUP(B528,'2-Kosten per locatie'!$A$12:$C$23,3,FALSE)</f>
        <v>0</v>
      </c>
      <c r="Q528" s="74">
        <f t="shared" si="52"/>
        <v>0</v>
      </c>
      <c r="R528" s="75" t="str">
        <f>VLOOKUP(H528,'3-Productie normen'!A:L,12,FALSE)</f>
        <v>S</v>
      </c>
      <c r="S528" s="75"/>
      <c r="U528" s="41">
        <f t="shared" si="53"/>
        <v>1180</v>
      </c>
    </row>
    <row r="529" spans="1:21" ht="14.1" customHeight="1">
      <c r="A529" s="54">
        <f t="shared" si="48"/>
        <v>529</v>
      </c>
      <c r="B529" s="70" t="s">
        <v>527</v>
      </c>
      <c r="C529" s="70"/>
      <c r="D529" s="416" t="s">
        <v>528</v>
      </c>
      <c r="E529" s="416" t="s">
        <v>89</v>
      </c>
      <c r="F529" s="71" t="s">
        <v>558</v>
      </c>
      <c r="G529" s="40" t="s">
        <v>458</v>
      </c>
      <c r="H529" s="40" t="s">
        <v>1</v>
      </c>
      <c r="I529" s="40" t="s">
        <v>536</v>
      </c>
      <c r="J529" s="460">
        <v>25.8</v>
      </c>
      <c r="K529" s="371">
        <f t="shared" si="49"/>
        <v>200</v>
      </c>
      <c r="L529" s="72">
        <v>200</v>
      </c>
      <c r="M529" s="72"/>
      <c r="N529" s="73" t="e">
        <f t="shared" si="50"/>
        <v>#DIV/0!</v>
      </c>
      <c r="O529" s="73">
        <f t="shared" si="51"/>
        <v>0</v>
      </c>
      <c r="P529" s="74">
        <f>IF(L529="nio",0,IF(L529&gt;0,VLOOKUP(H529,'3-Productie normen'!A:J,VLOOKUP(L529,'3-Productie normen'!$B$33:$C$38,2,FALSE),FALSE)))/VLOOKUP(B529,'2-Kosten per locatie'!$A$12:$C$23,3,FALSE)</f>
        <v>0</v>
      </c>
      <c r="Q529" s="74">
        <f t="shared" si="52"/>
        <v>0</v>
      </c>
      <c r="R529" s="75" t="str">
        <f>VLOOKUP(H529,'3-Productie normen'!A:L,12,FALSE)</f>
        <v>V</v>
      </c>
      <c r="S529" s="75"/>
      <c r="U529" s="41">
        <f t="shared" si="53"/>
        <v>5160</v>
      </c>
    </row>
    <row r="530" spans="1:21" ht="14.1" customHeight="1">
      <c r="A530" s="54">
        <f t="shared" si="48"/>
        <v>530</v>
      </c>
      <c r="B530" s="70" t="s">
        <v>527</v>
      </c>
      <c r="C530" s="70"/>
      <c r="D530" s="416" t="s">
        <v>528</v>
      </c>
      <c r="E530" s="416" t="s">
        <v>89</v>
      </c>
      <c r="F530" s="71" t="s">
        <v>559</v>
      </c>
      <c r="G530" s="40" t="s">
        <v>557</v>
      </c>
      <c r="H530" s="40" t="s">
        <v>235</v>
      </c>
      <c r="I530" s="40" t="s">
        <v>536</v>
      </c>
      <c r="J530" s="460">
        <v>5.9</v>
      </c>
      <c r="K530" s="371">
        <f t="shared" si="49"/>
        <v>200</v>
      </c>
      <c r="L530" s="72">
        <v>200</v>
      </c>
      <c r="M530" s="72"/>
      <c r="N530" s="73" t="e">
        <f t="shared" si="50"/>
        <v>#DIV/0!</v>
      </c>
      <c r="O530" s="73">
        <f t="shared" si="51"/>
        <v>0</v>
      </c>
      <c r="P530" s="74">
        <f>IF(L530="nio",0,IF(L530&gt;0,VLOOKUP(H530,'3-Productie normen'!A:J,VLOOKUP(L530,'3-Productie normen'!$B$33:$C$38,2,FALSE),FALSE)))/VLOOKUP(B530,'2-Kosten per locatie'!$A$12:$C$23,3,FALSE)</f>
        <v>0</v>
      </c>
      <c r="Q530" s="74">
        <f t="shared" si="52"/>
        <v>0</v>
      </c>
      <c r="R530" s="75" t="str">
        <f>VLOOKUP(H530,'3-Productie normen'!A:L,12,FALSE)</f>
        <v>S</v>
      </c>
      <c r="S530" s="75"/>
      <c r="U530" s="41">
        <f t="shared" si="53"/>
        <v>1180</v>
      </c>
    </row>
    <row r="531" spans="1:21" ht="14.1" customHeight="1">
      <c r="A531" s="54">
        <f t="shared" si="48"/>
        <v>531</v>
      </c>
      <c r="B531" s="70" t="s">
        <v>527</v>
      </c>
      <c r="C531" s="70"/>
      <c r="D531" s="416" t="s">
        <v>528</v>
      </c>
      <c r="E531" s="416" t="s">
        <v>89</v>
      </c>
      <c r="F531" s="71" t="s">
        <v>560</v>
      </c>
      <c r="G531" s="40" t="s">
        <v>458</v>
      </c>
      <c r="H531" s="40" t="s">
        <v>1</v>
      </c>
      <c r="I531" s="40" t="s">
        <v>536</v>
      </c>
      <c r="J531" s="460">
        <v>25.8</v>
      </c>
      <c r="K531" s="371">
        <f t="shared" si="49"/>
        <v>200</v>
      </c>
      <c r="L531" s="72">
        <v>200</v>
      </c>
      <c r="M531" s="72"/>
      <c r="N531" s="73" t="e">
        <f t="shared" si="50"/>
        <v>#DIV/0!</v>
      </c>
      <c r="O531" s="73">
        <f t="shared" si="51"/>
        <v>0</v>
      </c>
      <c r="P531" s="74">
        <f>IF(L531="nio",0,IF(L531&gt;0,VLOOKUP(H531,'3-Productie normen'!A:J,VLOOKUP(L531,'3-Productie normen'!$B$33:$C$38,2,FALSE),FALSE)))/VLOOKUP(B531,'2-Kosten per locatie'!$A$12:$C$23,3,FALSE)</f>
        <v>0</v>
      </c>
      <c r="Q531" s="74">
        <f t="shared" si="52"/>
        <v>0</v>
      </c>
      <c r="R531" s="75" t="str">
        <f>VLOOKUP(H531,'3-Productie normen'!A:L,12,FALSE)</f>
        <v>V</v>
      </c>
      <c r="S531" s="75"/>
      <c r="U531" s="41">
        <f t="shared" si="53"/>
        <v>5160</v>
      </c>
    </row>
    <row r="532" spans="1:21" ht="14.1" customHeight="1">
      <c r="A532" s="54">
        <f t="shared" si="48"/>
        <v>532</v>
      </c>
      <c r="B532" s="70" t="s">
        <v>527</v>
      </c>
      <c r="C532" s="70"/>
      <c r="D532" s="416" t="s">
        <v>528</v>
      </c>
      <c r="E532" s="416" t="s">
        <v>89</v>
      </c>
      <c r="F532" s="71" t="s">
        <v>561</v>
      </c>
      <c r="G532" s="40" t="s">
        <v>557</v>
      </c>
      <c r="H532" s="40" t="s">
        <v>235</v>
      </c>
      <c r="I532" s="40" t="s">
        <v>536</v>
      </c>
      <c r="J532" s="460">
        <v>5.9</v>
      </c>
      <c r="K532" s="371">
        <f t="shared" si="49"/>
        <v>200</v>
      </c>
      <c r="L532" s="72">
        <v>200</v>
      </c>
      <c r="M532" s="72"/>
      <c r="N532" s="73" t="e">
        <f t="shared" si="50"/>
        <v>#DIV/0!</v>
      </c>
      <c r="O532" s="73">
        <f t="shared" si="51"/>
        <v>0</v>
      </c>
      <c r="P532" s="74">
        <f>IF(L532="nio",0,IF(L532&gt;0,VLOOKUP(H532,'3-Productie normen'!A:J,VLOOKUP(L532,'3-Productie normen'!$B$33:$C$38,2,FALSE),FALSE)))/VLOOKUP(B532,'2-Kosten per locatie'!$A$12:$C$23,3,FALSE)</f>
        <v>0</v>
      </c>
      <c r="Q532" s="74">
        <f t="shared" si="52"/>
        <v>0</v>
      </c>
      <c r="R532" s="75" t="str">
        <f>VLOOKUP(H532,'3-Productie normen'!A:L,12,FALSE)</f>
        <v>S</v>
      </c>
      <c r="S532" s="75"/>
      <c r="U532" s="41">
        <f t="shared" si="53"/>
        <v>1180</v>
      </c>
    </row>
    <row r="533" spans="1:21" ht="14.1" customHeight="1">
      <c r="A533" s="54">
        <f t="shared" si="48"/>
        <v>533</v>
      </c>
      <c r="B533" s="70" t="s">
        <v>527</v>
      </c>
      <c r="C533" s="70"/>
      <c r="D533" s="416" t="s">
        <v>528</v>
      </c>
      <c r="E533" s="416" t="s">
        <v>89</v>
      </c>
      <c r="F533" s="71" t="s">
        <v>562</v>
      </c>
      <c r="G533" s="70" t="s">
        <v>458</v>
      </c>
      <c r="H533" s="70" t="s">
        <v>1</v>
      </c>
      <c r="I533" s="40" t="s">
        <v>536</v>
      </c>
      <c r="J533" s="460">
        <v>25.8</v>
      </c>
      <c r="K533" s="371">
        <f t="shared" si="49"/>
        <v>200</v>
      </c>
      <c r="L533" s="72">
        <v>200</v>
      </c>
      <c r="M533" s="72"/>
      <c r="N533" s="73" t="e">
        <f t="shared" si="50"/>
        <v>#DIV/0!</v>
      </c>
      <c r="O533" s="73">
        <f t="shared" si="51"/>
        <v>0</v>
      </c>
      <c r="P533" s="74">
        <f>IF(L533="nio",0,IF(L533&gt;0,VLOOKUP(H533,'3-Productie normen'!A:J,VLOOKUP(L533,'3-Productie normen'!$B$33:$C$38,2,FALSE),FALSE)))/VLOOKUP(B533,'2-Kosten per locatie'!$A$12:$C$23,3,FALSE)</f>
        <v>0</v>
      </c>
      <c r="Q533" s="74">
        <f t="shared" si="52"/>
        <v>0</v>
      </c>
      <c r="R533" s="75" t="str">
        <f>VLOOKUP(H533,'3-Productie normen'!A:L,12,FALSE)</f>
        <v>V</v>
      </c>
      <c r="S533" s="75"/>
      <c r="U533" s="41">
        <f t="shared" si="53"/>
        <v>5160</v>
      </c>
    </row>
    <row r="534" spans="1:21" ht="14.1" customHeight="1">
      <c r="A534" s="54">
        <f t="shared" si="48"/>
        <v>534</v>
      </c>
      <c r="B534" s="70" t="s">
        <v>527</v>
      </c>
      <c r="C534" s="70"/>
      <c r="D534" s="416" t="s">
        <v>528</v>
      </c>
      <c r="E534" s="416" t="s">
        <v>89</v>
      </c>
      <c r="F534" s="71" t="s">
        <v>563</v>
      </c>
      <c r="G534" s="70" t="s">
        <v>557</v>
      </c>
      <c r="H534" s="70" t="s">
        <v>235</v>
      </c>
      <c r="I534" s="40" t="s">
        <v>536</v>
      </c>
      <c r="J534" s="460">
        <v>5.9</v>
      </c>
      <c r="K534" s="371">
        <f t="shared" si="49"/>
        <v>200</v>
      </c>
      <c r="L534" s="72">
        <v>200</v>
      </c>
      <c r="M534" s="72"/>
      <c r="N534" s="73" t="e">
        <f t="shared" si="50"/>
        <v>#DIV/0!</v>
      </c>
      <c r="O534" s="73">
        <f t="shared" si="51"/>
        <v>0</v>
      </c>
      <c r="P534" s="74">
        <f>IF(L534="nio",0,IF(L534&gt;0,VLOOKUP(H534,'3-Productie normen'!A:J,VLOOKUP(L534,'3-Productie normen'!$B$33:$C$38,2,FALSE),FALSE)))/VLOOKUP(B534,'2-Kosten per locatie'!$A$12:$C$23,3,FALSE)</f>
        <v>0</v>
      </c>
      <c r="Q534" s="74">
        <f t="shared" si="52"/>
        <v>0</v>
      </c>
      <c r="R534" s="75" t="str">
        <f>VLOOKUP(H534,'3-Productie normen'!A:L,12,FALSE)</f>
        <v>S</v>
      </c>
      <c r="S534" s="75"/>
      <c r="U534" s="41">
        <f t="shared" si="53"/>
        <v>1180</v>
      </c>
    </row>
    <row r="535" spans="1:21" ht="14.1" customHeight="1">
      <c r="A535" s="54">
        <f t="shared" si="48"/>
        <v>535</v>
      </c>
      <c r="B535" s="70" t="s">
        <v>527</v>
      </c>
      <c r="C535" s="70"/>
      <c r="D535" s="416" t="s">
        <v>528</v>
      </c>
      <c r="E535" s="416" t="s">
        <v>89</v>
      </c>
      <c r="F535" s="71" t="s">
        <v>564</v>
      </c>
      <c r="G535" s="70" t="s">
        <v>458</v>
      </c>
      <c r="H535" s="70" t="s">
        <v>1</v>
      </c>
      <c r="I535" s="40" t="s">
        <v>536</v>
      </c>
      <c r="J535" s="460">
        <v>25.8</v>
      </c>
      <c r="K535" s="371">
        <f t="shared" si="49"/>
        <v>200</v>
      </c>
      <c r="L535" s="72">
        <v>200</v>
      </c>
      <c r="M535" s="72"/>
      <c r="N535" s="73" t="e">
        <f t="shared" si="50"/>
        <v>#DIV/0!</v>
      </c>
      <c r="O535" s="73">
        <f t="shared" si="51"/>
        <v>0</v>
      </c>
      <c r="P535" s="74">
        <f>IF(L535="nio",0,IF(L535&gt;0,VLOOKUP(H535,'3-Productie normen'!A:J,VLOOKUP(L535,'3-Productie normen'!$B$33:$C$38,2,FALSE),FALSE)))/VLOOKUP(B535,'2-Kosten per locatie'!$A$12:$C$23,3,FALSE)</f>
        <v>0</v>
      </c>
      <c r="Q535" s="74">
        <f t="shared" si="52"/>
        <v>0</v>
      </c>
      <c r="R535" s="75" t="str">
        <f>VLOOKUP(H535,'3-Productie normen'!A:L,12,FALSE)</f>
        <v>V</v>
      </c>
      <c r="S535" s="75"/>
      <c r="U535" s="41">
        <f t="shared" si="53"/>
        <v>5160</v>
      </c>
    </row>
    <row r="536" spans="1:21" ht="14.1" customHeight="1">
      <c r="A536" s="54">
        <f t="shared" si="48"/>
        <v>536</v>
      </c>
      <c r="B536" s="70" t="s">
        <v>527</v>
      </c>
      <c r="C536" s="70"/>
      <c r="D536" s="416" t="s">
        <v>528</v>
      </c>
      <c r="E536" s="416" t="s">
        <v>89</v>
      </c>
      <c r="F536" s="71" t="s">
        <v>565</v>
      </c>
      <c r="G536" s="40" t="s">
        <v>263</v>
      </c>
      <c r="H536" s="40" t="s">
        <v>232</v>
      </c>
      <c r="I536" s="40" t="s">
        <v>536</v>
      </c>
      <c r="J536" s="460">
        <v>2.65</v>
      </c>
      <c r="K536" s="371">
        <f t="shared" si="49"/>
        <v>200</v>
      </c>
      <c r="L536" s="72">
        <v>200</v>
      </c>
      <c r="M536" s="72"/>
      <c r="N536" s="73" t="e">
        <f t="shared" si="50"/>
        <v>#DIV/0!</v>
      </c>
      <c r="O536" s="73">
        <f t="shared" si="51"/>
        <v>0</v>
      </c>
      <c r="P536" s="74">
        <f>IF(L536="nio",0,IF(L536&gt;0,VLOOKUP(H536,'3-Productie normen'!A:J,VLOOKUP(L536,'3-Productie normen'!$B$33:$C$38,2,FALSE),FALSE)))/VLOOKUP(B536,'2-Kosten per locatie'!$A$12:$C$23,3,FALSE)</f>
        <v>0</v>
      </c>
      <c r="Q536" s="74">
        <f t="shared" si="52"/>
        <v>0</v>
      </c>
      <c r="R536" s="75" t="str">
        <f>VLOOKUP(H536,'3-Productie normen'!A:L,12,FALSE)</f>
        <v>V</v>
      </c>
      <c r="S536" s="75"/>
      <c r="U536" s="41">
        <f t="shared" si="53"/>
        <v>530</v>
      </c>
    </row>
    <row r="537" spans="1:21" ht="14.1" customHeight="1">
      <c r="A537" s="54">
        <f t="shared" si="48"/>
        <v>537</v>
      </c>
      <c r="B537" s="70" t="s">
        <v>527</v>
      </c>
      <c r="C537" s="70"/>
      <c r="D537" s="416" t="s">
        <v>528</v>
      </c>
      <c r="E537" s="416" t="s">
        <v>89</v>
      </c>
      <c r="F537" s="71" t="s">
        <v>566</v>
      </c>
      <c r="G537" s="40" t="s">
        <v>557</v>
      </c>
      <c r="H537" s="40" t="s">
        <v>235</v>
      </c>
      <c r="I537" s="40" t="s">
        <v>536</v>
      </c>
      <c r="J537" s="460">
        <v>5.12</v>
      </c>
      <c r="K537" s="371">
        <f t="shared" si="49"/>
        <v>200</v>
      </c>
      <c r="L537" s="72">
        <v>200</v>
      </c>
      <c r="M537" s="72"/>
      <c r="N537" s="73" t="e">
        <f t="shared" si="50"/>
        <v>#DIV/0!</v>
      </c>
      <c r="O537" s="73">
        <f t="shared" si="51"/>
        <v>0</v>
      </c>
      <c r="P537" s="74">
        <f>IF(L537="nio",0,IF(L537&gt;0,VLOOKUP(H537,'3-Productie normen'!A:J,VLOOKUP(L537,'3-Productie normen'!$B$33:$C$38,2,FALSE),FALSE)))/VLOOKUP(B537,'2-Kosten per locatie'!$A$12:$C$23,3,FALSE)</f>
        <v>0</v>
      </c>
      <c r="Q537" s="74">
        <f t="shared" si="52"/>
        <v>0</v>
      </c>
      <c r="R537" s="75" t="str">
        <f>VLOOKUP(H537,'3-Productie normen'!A:L,12,FALSE)</f>
        <v>S</v>
      </c>
      <c r="S537" s="75"/>
      <c r="U537" s="41">
        <f t="shared" si="53"/>
        <v>1024</v>
      </c>
    </row>
    <row r="538" spans="1:21" ht="14.1" customHeight="1">
      <c r="A538" s="54">
        <f t="shared" si="48"/>
        <v>538</v>
      </c>
      <c r="B538" s="70" t="s">
        <v>527</v>
      </c>
      <c r="C538" s="70"/>
      <c r="D538" s="416" t="s">
        <v>528</v>
      </c>
      <c r="E538" s="416" t="s">
        <v>89</v>
      </c>
      <c r="F538" s="71" t="s">
        <v>567</v>
      </c>
      <c r="G538" s="40" t="s">
        <v>568</v>
      </c>
      <c r="H538" s="40" t="s">
        <v>17</v>
      </c>
      <c r="I538" s="40" t="s">
        <v>536</v>
      </c>
      <c r="J538" s="460">
        <v>2</v>
      </c>
      <c r="K538" s="371">
        <f t="shared" si="49"/>
        <v>200</v>
      </c>
      <c r="L538" s="72">
        <v>200</v>
      </c>
      <c r="M538" s="72"/>
      <c r="N538" s="73" t="e">
        <f t="shared" si="50"/>
        <v>#DIV/0!</v>
      </c>
      <c r="O538" s="73">
        <f t="shared" si="51"/>
        <v>0</v>
      </c>
      <c r="P538" s="74">
        <f>IF(L538="nio",0,IF(L538&gt;0,VLOOKUP(H538,'3-Productie normen'!A:J,VLOOKUP(L538,'3-Productie normen'!$B$33:$C$38,2,FALSE),FALSE)))/VLOOKUP(B538,'2-Kosten per locatie'!$A$12:$C$23,3,FALSE)</f>
        <v>0</v>
      </c>
      <c r="Q538" s="74">
        <f t="shared" si="52"/>
        <v>0</v>
      </c>
      <c r="R538" s="75" t="str">
        <f>VLOOKUP(H538,'3-Productie normen'!A:L,12,FALSE)</f>
        <v>S</v>
      </c>
      <c r="S538" s="75"/>
      <c r="U538" s="41">
        <f t="shared" si="53"/>
        <v>400</v>
      </c>
    </row>
    <row r="539" spans="1:21" ht="14.1" customHeight="1">
      <c r="A539" s="54">
        <f t="shared" si="48"/>
        <v>539</v>
      </c>
      <c r="B539" s="70" t="s">
        <v>527</v>
      </c>
      <c r="C539" s="70"/>
      <c r="D539" s="416" t="s">
        <v>528</v>
      </c>
      <c r="E539" s="416" t="s">
        <v>89</v>
      </c>
      <c r="F539" s="71" t="s">
        <v>569</v>
      </c>
      <c r="G539" s="40" t="s">
        <v>543</v>
      </c>
      <c r="H539" s="40" t="s">
        <v>17</v>
      </c>
      <c r="I539" s="40" t="s">
        <v>536</v>
      </c>
      <c r="J539" s="460">
        <v>3.43</v>
      </c>
      <c r="K539" s="371">
        <f t="shared" si="49"/>
        <v>200</v>
      </c>
      <c r="L539" s="72">
        <v>200</v>
      </c>
      <c r="M539" s="72"/>
      <c r="N539" s="73" t="e">
        <f t="shared" si="50"/>
        <v>#DIV/0!</v>
      </c>
      <c r="O539" s="73">
        <f t="shared" si="51"/>
        <v>0</v>
      </c>
      <c r="P539" s="74">
        <f>IF(L539="nio",0,IF(L539&gt;0,VLOOKUP(H539,'3-Productie normen'!A:J,VLOOKUP(L539,'3-Productie normen'!$B$33:$C$38,2,FALSE),FALSE)))/VLOOKUP(B539,'2-Kosten per locatie'!$A$12:$C$23,3,FALSE)</f>
        <v>0</v>
      </c>
      <c r="Q539" s="74">
        <f t="shared" si="52"/>
        <v>0</v>
      </c>
      <c r="R539" s="75" t="str">
        <f>VLOOKUP(H539,'3-Productie normen'!A:L,12,FALSE)</f>
        <v>S</v>
      </c>
      <c r="S539" s="75"/>
      <c r="U539" s="41">
        <f t="shared" si="53"/>
        <v>686</v>
      </c>
    </row>
    <row r="540" spans="1:21" ht="14.1" customHeight="1">
      <c r="A540" s="54">
        <f t="shared" si="48"/>
        <v>540</v>
      </c>
      <c r="B540" s="70" t="s">
        <v>527</v>
      </c>
      <c r="C540" s="70"/>
      <c r="D540" s="416" t="s">
        <v>528</v>
      </c>
      <c r="E540" s="416" t="s">
        <v>89</v>
      </c>
      <c r="F540" s="71" t="s">
        <v>570</v>
      </c>
      <c r="G540" s="77" t="s">
        <v>557</v>
      </c>
      <c r="H540" s="77" t="s">
        <v>235</v>
      </c>
      <c r="I540" s="40" t="s">
        <v>536</v>
      </c>
      <c r="J540" s="460">
        <v>5.0999999999999996</v>
      </c>
      <c r="K540" s="371">
        <f t="shared" si="49"/>
        <v>200</v>
      </c>
      <c r="L540" s="72">
        <v>200</v>
      </c>
      <c r="M540" s="72"/>
      <c r="N540" s="73" t="e">
        <f t="shared" si="50"/>
        <v>#DIV/0!</v>
      </c>
      <c r="O540" s="73">
        <f t="shared" si="51"/>
        <v>0</v>
      </c>
      <c r="P540" s="74">
        <f>IF(L540="nio",0,IF(L540&gt;0,VLOOKUP(H540,'3-Productie normen'!A:J,VLOOKUP(L540,'3-Productie normen'!$B$33:$C$38,2,FALSE),FALSE)))/VLOOKUP(B540,'2-Kosten per locatie'!$A$12:$C$23,3,FALSE)</f>
        <v>0</v>
      </c>
      <c r="Q540" s="74">
        <f t="shared" si="52"/>
        <v>0</v>
      </c>
      <c r="R540" s="75" t="str">
        <f>VLOOKUP(H540,'3-Productie normen'!A:L,12,FALSE)</f>
        <v>S</v>
      </c>
      <c r="S540" s="75"/>
      <c r="U540" s="41">
        <f t="shared" si="53"/>
        <v>1019.9999999999999</v>
      </c>
    </row>
    <row r="541" spans="1:21" ht="14.1" customHeight="1">
      <c r="A541" s="54">
        <f t="shared" si="48"/>
        <v>541</v>
      </c>
      <c r="B541" s="70" t="s">
        <v>527</v>
      </c>
      <c r="C541" s="70"/>
      <c r="D541" s="416" t="s">
        <v>528</v>
      </c>
      <c r="E541" s="416" t="s">
        <v>89</v>
      </c>
      <c r="F541" s="71" t="s">
        <v>571</v>
      </c>
      <c r="G541" s="40" t="s">
        <v>542</v>
      </c>
      <c r="H541" s="40" t="s">
        <v>17</v>
      </c>
      <c r="I541" s="78" t="s">
        <v>536</v>
      </c>
      <c r="J541" s="460">
        <v>3</v>
      </c>
      <c r="K541" s="371">
        <f t="shared" si="49"/>
        <v>200</v>
      </c>
      <c r="L541" s="72">
        <v>200</v>
      </c>
      <c r="M541" s="72"/>
      <c r="N541" s="73" t="e">
        <f t="shared" si="50"/>
        <v>#DIV/0!</v>
      </c>
      <c r="O541" s="73">
        <f t="shared" si="51"/>
        <v>0</v>
      </c>
      <c r="P541" s="74">
        <f>IF(L541="nio",0,IF(L541&gt;0,VLOOKUP(H541,'3-Productie normen'!A:J,VLOOKUP(L541,'3-Productie normen'!$B$33:$C$38,2,FALSE),FALSE)))/VLOOKUP(B541,'2-Kosten per locatie'!$A$12:$C$23,3,FALSE)</f>
        <v>0</v>
      </c>
      <c r="Q541" s="74">
        <f t="shared" si="52"/>
        <v>0</v>
      </c>
      <c r="R541" s="75" t="str">
        <f>VLOOKUP(H541,'3-Productie normen'!A:L,12,FALSE)</f>
        <v>S</v>
      </c>
      <c r="S541" s="75"/>
      <c r="U541" s="41">
        <f t="shared" si="53"/>
        <v>600</v>
      </c>
    </row>
    <row r="542" spans="1:21" ht="14.1" customHeight="1">
      <c r="A542" s="54">
        <f t="shared" si="48"/>
        <v>542</v>
      </c>
      <c r="B542" s="70" t="s">
        <v>527</v>
      </c>
      <c r="C542" s="70"/>
      <c r="D542" s="417" t="s">
        <v>528</v>
      </c>
      <c r="E542" s="417" t="s">
        <v>239</v>
      </c>
      <c r="F542" s="79" t="s">
        <v>269</v>
      </c>
      <c r="G542" s="80" t="s">
        <v>572</v>
      </c>
      <c r="H542" s="80" t="s">
        <v>176</v>
      </c>
      <c r="I542" s="40" t="s">
        <v>346</v>
      </c>
      <c r="J542" s="460">
        <v>36.35</v>
      </c>
      <c r="K542" s="371">
        <f t="shared" si="49"/>
        <v>200</v>
      </c>
      <c r="L542" s="72">
        <v>200</v>
      </c>
      <c r="M542" s="72"/>
      <c r="N542" s="73" t="e">
        <f t="shared" si="50"/>
        <v>#DIV/0!</v>
      </c>
      <c r="O542" s="73">
        <f t="shared" si="51"/>
        <v>0</v>
      </c>
      <c r="P542" s="74">
        <f>IF(L542="nio",0,IF(L542&gt;0,VLOOKUP(H542,'3-Productie normen'!A:J,VLOOKUP(L542,'3-Productie normen'!$B$33:$C$38,2,FALSE),FALSE)))/VLOOKUP(B542,'2-Kosten per locatie'!$A$12:$C$23,3,FALSE)</f>
        <v>0</v>
      </c>
      <c r="Q542" s="74">
        <f t="shared" si="52"/>
        <v>0</v>
      </c>
      <c r="R542" s="75" t="str">
        <f>VLOOKUP(H542,'3-Productie normen'!A:L,12,FALSE)</f>
        <v>B</v>
      </c>
      <c r="S542" s="75"/>
      <c r="U542" s="41">
        <f t="shared" si="53"/>
        <v>7270</v>
      </c>
    </row>
    <row r="543" spans="1:21" ht="14.1" customHeight="1">
      <c r="A543" s="54">
        <f t="shared" si="48"/>
        <v>543</v>
      </c>
      <c r="B543" s="70" t="s">
        <v>527</v>
      </c>
      <c r="C543" s="70"/>
      <c r="D543" s="416" t="s">
        <v>528</v>
      </c>
      <c r="E543" s="416" t="s">
        <v>239</v>
      </c>
      <c r="F543" s="71" t="s">
        <v>270</v>
      </c>
      <c r="G543" s="40" t="s">
        <v>541</v>
      </c>
      <c r="H543" s="40" t="s">
        <v>233</v>
      </c>
      <c r="I543" s="40" t="s">
        <v>91</v>
      </c>
      <c r="J543" s="460">
        <v>56.65</v>
      </c>
      <c r="K543" s="371">
        <f t="shared" si="49"/>
        <v>200</v>
      </c>
      <c r="L543" s="72">
        <v>200</v>
      </c>
      <c r="M543" s="72"/>
      <c r="N543" s="73" t="e">
        <f t="shared" si="50"/>
        <v>#DIV/0!</v>
      </c>
      <c r="O543" s="73">
        <f t="shared" si="51"/>
        <v>0</v>
      </c>
      <c r="P543" s="74">
        <f>IF(L543="nio",0,IF(L543&gt;0,VLOOKUP(H543,'3-Productie normen'!A:J,VLOOKUP(L543,'3-Productie normen'!$B$33:$C$38,2,FALSE),FALSE)))/VLOOKUP(B543,'2-Kosten per locatie'!$A$12:$C$23,3,FALSE)</f>
        <v>0</v>
      </c>
      <c r="Q543" s="74">
        <f t="shared" si="52"/>
        <v>0</v>
      </c>
      <c r="R543" s="75" t="str">
        <f>VLOOKUP(H543,'3-Productie normen'!A:L,12,FALSE)</f>
        <v>L</v>
      </c>
      <c r="S543" s="75"/>
      <c r="U543" s="41">
        <f t="shared" si="53"/>
        <v>11330</v>
      </c>
    </row>
    <row r="544" spans="1:21" ht="14.1" customHeight="1">
      <c r="A544" s="54">
        <f t="shared" si="48"/>
        <v>544</v>
      </c>
      <c r="B544" s="70" t="s">
        <v>527</v>
      </c>
      <c r="C544" s="70"/>
      <c r="D544" s="416" t="s">
        <v>528</v>
      </c>
      <c r="E544" s="416" t="s">
        <v>239</v>
      </c>
      <c r="F544" s="71" t="s">
        <v>272</v>
      </c>
      <c r="G544" s="40" t="s">
        <v>257</v>
      </c>
      <c r="H544" s="40" t="s">
        <v>17</v>
      </c>
      <c r="I544" s="40" t="s">
        <v>536</v>
      </c>
      <c r="J544" s="460">
        <v>2.2400000000000002</v>
      </c>
      <c r="K544" s="371">
        <f t="shared" si="49"/>
        <v>200</v>
      </c>
      <c r="L544" s="72">
        <v>200</v>
      </c>
      <c r="M544" s="72"/>
      <c r="N544" s="73" t="e">
        <f t="shared" si="50"/>
        <v>#DIV/0!</v>
      </c>
      <c r="O544" s="73">
        <f t="shared" si="51"/>
        <v>0</v>
      </c>
      <c r="P544" s="74">
        <f>IF(L544="nio",0,IF(L544&gt;0,VLOOKUP(H544,'3-Productie normen'!A:J,VLOOKUP(L544,'3-Productie normen'!$B$33:$C$38,2,FALSE),FALSE)))/VLOOKUP(B544,'2-Kosten per locatie'!$A$12:$C$23,3,FALSE)</f>
        <v>0</v>
      </c>
      <c r="Q544" s="74">
        <f t="shared" si="52"/>
        <v>0</v>
      </c>
      <c r="R544" s="75" t="str">
        <f>VLOOKUP(H544,'3-Productie normen'!A:L,12,FALSE)</f>
        <v>S</v>
      </c>
      <c r="S544" s="75"/>
      <c r="U544" s="41">
        <f t="shared" si="53"/>
        <v>448.00000000000006</v>
      </c>
    </row>
    <row r="545" spans="1:21" ht="14.1" customHeight="1">
      <c r="A545" s="54">
        <f t="shared" si="48"/>
        <v>545</v>
      </c>
      <c r="B545" s="70" t="s">
        <v>527</v>
      </c>
      <c r="C545" s="70"/>
      <c r="D545" s="416" t="s">
        <v>528</v>
      </c>
      <c r="E545" s="416" t="s">
        <v>239</v>
      </c>
      <c r="F545" s="71" t="s">
        <v>273</v>
      </c>
      <c r="G545" s="40" t="s">
        <v>268</v>
      </c>
      <c r="H545" s="40" t="s">
        <v>232</v>
      </c>
      <c r="I545" s="40" t="s">
        <v>346</v>
      </c>
      <c r="J545" s="460">
        <v>30</v>
      </c>
      <c r="K545" s="371">
        <f t="shared" si="49"/>
        <v>200</v>
      </c>
      <c r="L545" s="72">
        <v>200</v>
      </c>
      <c r="M545" s="72"/>
      <c r="N545" s="73" t="e">
        <f t="shared" si="50"/>
        <v>#DIV/0!</v>
      </c>
      <c r="O545" s="73">
        <f t="shared" si="51"/>
        <v>0</v>
      </c>
      <c r="P545" s="74">
        <f>IF(L545="nio",0,IF(L545&gt;0,VLOOKUP(H545,'3-Productie normen'!A:J,VLOOKUP(L545,'3-Productie normen'!$B$33:$C$38,2,FALSE),FALSE)))/VLOOKUP(B545,'2-Kosten per locatie'!$A$12:$C$23,3,FALSE)</f>
        <v>0</v>
      </c>
      <c r="Q545" s="74">
        <f t="shared" si="52"/>
        <v>0</v>
      </c>
      <c r="R545" s="75" t="str">
        <f>VLOOKUP(H545,'3-Productie normen'!A:L,12,FALSE)</f>
        <v>V</v>
      </c>
      <c r="S545" s="75"/>
      <c r="U545" s="41">
        <f t="shared" si="53"/>
        <v>6000</v>
      </c>
    </row>
    <row r="546" spans="1:21" ht="14.1" customHeight="1">
      <c r="A546" s="54">
        <f t="shared" si="48"/>
        <v>546</v>
      </c>
      <c r="B546" s="70" t="s">
        <v>527</v>
      </c>
      <c r="C546" s="70"/>
      <c r="D546" s="416" t="s">
        <v>528</v>
      </c>
      <c r="E546" s="416" t="s">
        <v>239</v>
      </c>
      <c r="F546" s="71" t="s">
        <v>274</v>
      </c>
      <c r="G546" s="40" t="s">
        <v>541</v>
      </c>
      <c r="H546" s="40" t="s">
        <v>233</v>
      </c>
      <c r="I546" s="40" t="s">
        <v>91</v>
      </c>
      <c r="J546" s="460">
        <v>53.89</v>
      </c>
      <c r="K546" s="371">
        <f t="shared" si="49"/>
        <v>200</v>
      </c>
      <c r="L546" s="72">
        <v>200</v>
      </c>
      <c r="M546" s="72"/>
      <c r="N546" s="73" t="e">
        <f t="shared" si="50"/>
        <v>#DIV/0!</v>
      </c>
      <c r="O546" s="73">
        <f t="shared" si="51"/>
        <v>0</v>
      </c>
      <c r="P546" s="74">
        <f>IF(L546="nio",0,IF(L546&gt;0,VLOOKUP(H546,'3-Productie normen'!A:J,VLOOKUP(L546,'3-Productie normen'!$B$33:$C$38,2,FALSE),FALSE)))/VLOOKUP(B546,'2-Kosten per locatie'!$A$12:$C$23,3,FALSE)</f>
        <v>0</v>
      </c>
      <c r="Q546" s="74">
        <f t="shared" si="52"/>
        <v>0</v>
      </c>
      <c r="R546" s="75" t="str">
        <f>VLOOKUP(H546,'3-Productie normen'!A:L,12,FALSE)</f>
        <v>L</v>
      </c>
      <c r="S546" s="75"/>
      <c r="U546" s="41">
        <f t="shared" si="53"/>
        <v>10778</v>
      </c>
    </row>
    <row r="547" spans="1:21" ht="14.1" customHeight="1">
      <c r="A547" s="54">
        <f t="shared" si="48"/>
        <v>547</v>
      </c>
      <c r="B547" s="70" t="s">
        <v>527</v>
      </c>
      <c r="C547" s="70"/>
      <c r="D547" s="416" t="s">
        <v>528</v>
      </c>
      <c r="E547" s="416" t="s">
        <v>239</v>
      </c>
      <c r="F547" s="71" t="s">
        <v>275</v>
      </c>
      <c r="G547" s="40" t="s">
        <v>549</v>
      </c>
      <c r="H547" s="40" t="s">
        <v>232</v>
      </c>
      <c r="I547" s="40" t="s">
        <v>91</v>
      </c>
      <c r="J547" s="460">
        <v>16.899999999999999</v>
      </c>
      <c r="K547" s="371">
        <f t="shared" si="49"/>
        <v>200</v>
      </c>
      <c r="L547" s="72">
        <v>200</v>
      </c>
      <c r="M547" s="72"/>
      <c r="N547" s="73" t="e">
        <f t="shared" si="50"/>
        <v>#DIV/0!</v>
      </c>
      <c r="O547" s="73">
        <f t="shared" si="51"/>
        <v>0</v>
      </c>
      <c r="P547" s="74">
        <f>IF(L547="nio",0,IF(L547&gt;0,VLOOKUP(H547,'3-Productie normen'!A:J,VLOOKUP(L547,'3-Productie normen'!$B$33:$C$38,2,FALSE),FALSE)))/VLOOKUP(B547,'2-Kosten per locatie'!$A$12:$C$23,3,FALSE)</f>
        <v>0</v>
      </c>
      <c r="Q547" s="74">
        <f t="shared" si="52"/>
        <v>0</v>
      </c>
      <c r="R547" s="75" t="str">
        <f>VLOOKUP(H547,'3-Productie normen'!A:L,12,FALSE)</f>
        <v>V</v>
      </c>
      <c r="S547" s="75"/>
      <c r="U547" s="41">
        <f t="shared" si="53"/>
        <v>3379.9999999999995</v>
      </c>
    </row>
    <row r="548" spans="1:21" ht="14.1" customHeight="1">
      <c r="A548" s="54">
        <f t="shared" si="48"/>
        <v>548</v>
      </c>
      <c r="B548" s="70" t="s">
        <v>527</v>
      </c>
      <c r="C548" s="70"/>
      <c r="D548" s="416" t="s">
        <v>528</v>
      </c>
      <c r="E548" s="416" t="s">
        <v>239</v>
      </c>
      <c r="F548" s="71" t="s">
        <v>276</v>
      </c>
      <c r="G548" s="40" t="s">
        <v>573</v>
      </c>
      <c r="H548" s="40" t="s">
        <v>232</v>
      </c>
      <c r="I548" s="40" t="s">
        <v>346</v>
      </c>
      <c r="J548" s="460">
        <v>23.06</v>
      </c>
      <c r="K548" s="371">
        <f t="shared" si="49"/>
        <v>200</v>
      </c>
      <c r="L548" s="72">
        <v>200</v>
      </c>
      <c r="M548" s="72"/>
      <c r="N548" s="73" t="e">
        <f t="shared" si="50"/>
        <v>#DIV/0!</v>
      </c>
      <c r="O548" s="73">
        <f t="shared" si="51"/>
        <v>0</v>
      </c>
      <c r="P548" s="74">
        <f>IF(L548="nio",0,IF(L548&gt;0,VLOOKUP(H548,'3-Productie normen'!A:J,VLOOKUP(L548,'3-Productie normen'!$B$33:$C$38,2,FALSE),FALSE)))/VLOOKUP(B548,'2-Kosten per locatie'!$A$12:$C$23,3,FALSE)</f>
        <v>0</v>
      </c>
      <c r="Q548" s="74">
        <f t="shared" si="52"/>
        <v>0</v>
      </c>
      <c r="R548" s="75" t="str">
        <f>VLOOKUP(H548,'3-Productie normen'!A:L,12,FALSE)</f>
        <v>V</v>
      </c>
      <c r="S548" s="75"/>
      <c r="U548" s="41">
        <f t="shared" si="53"/>
        <v>4612</v>
      </c>
    </row>
    <row r="549" spans="1:21" ht="14.1" customHeight="1">
      <c r="A549" s="54">
        <f t="shared" si="48"/>
        <v>549</v>
      </c>
      <c r="B549" s="70" t="s">
        <v>527</v>
      </c>
      <c r="C549" s="70"/>
      <c r="D549" s="416" t="s">
        <v>528</v>
      </c>
      <c r="E549" s="416" t="s">
        <v>239</v>
      </c>
      <c r="F549" s="71" t="s">
        <v>277</v>
      </c>
      <c r="G549" s="40" t="s">
        <v>574</v>
      </c>
      <c r="H549" s="40" t="s">
        <v>17</v>
      </c>
      <c r="I549" s="40" t="s">
        <v>536</v>
      </c>
      <c r="J549" s="460">
        <v>4.7</v>
      </c>
      <c r="K549" s="371">
        <f t="shared" si="49"/>
        <v>200</v>
      </c>
      <c r="L549" s="72">
        <v>200</v>
      </c>
      <c r="M549" s="72"/>
      <c r="N549" s="73" t="e">
        <f t="shared" si="50"/>
        <v>#DIV/0!</v>
      </c>
      <c r="O549" s="73">
        <f t="shared" si="51"/>
        <v>0</v>
      </c>
      <c r="P549" s="74">
        <f>IF(L549="nio",0,IF(L549&gt;0,VLOOKUP(H549,'3-Productie normen'!A:J,VLOOKUP(L549,'3-Productie normen'!$B$33:$C$38,2,FALSE),FALSE)))/VLOOKUP(B549,'2-Kosten per locatie'!$A$12:$C$23,3,FALSE)</f>
        <v>0</v>
      </c>
      <c r="Q549" s="74">
        <f t="shared" si="52"/>
        <v>0</v>
      </c>
      <c r="R549" s="75" t="str">
        <f>VLOOKUP(H549,'3-Productie normen'!A:L,12,FALSE)</f>
        <v>S</v>
      </c>
      <c r="S549" s="75"/>
      <c r="U549" s="41">
        <f t="shared" si="53"/>
        <v>940</v>
      </c>
    </row>
    <row r="550" spans="1:21" ht="14.1" customHeight="1">
      <c r="A550" s="54">
        <f t="shared" si="48"/>
        <v>550</v>
      </c>
      <c r="B550" s="70" t="s">
        <v>527</v>
      </c>
      <c r="C550" s="70"/>
      <c r="D550" s="416" t="s">
        <v>528</v>
      </c>
      <c r="E550" s="416" t="s">
        <v>239</v>
      </c>
      <c r="F550" s="71" t="s">
        <v>278</v>
      </c>
      <c r="G550" s="40" t="s">
        <v>575</v>
      </c>
      <c r="H550" s="40" t="s">
        <v>232</v>
      </c>
      <c r="I550" s="40" t="s">
        <v>346</v>
      </c>
      <c r="J550" s="460">
        <v>55.4</v>
      </c>
      <c r="K550" s="371">
        <f t="shared" si="49"/>
        <v>200</v>
      </c>
      <c r="L550" s="72">
        <v>200</v>
      </c>
      <c r="M550" s="72"/>
      <c r="N550" s="73" t="e">
        <f t="shared" si="50"/>
        <v>#DIV/0!</v>
      </c>
      <c r="O550" s="73">
        <f t="shared" si="51"/>
        <v>0</v>
      </c>
      <c r="P550" s="74">
        <f>IF(L550="nio",0,IF(L550&gt;0,VLOOKUP(H550,'3-Productie normen'!A:J,VLOOKUP(L550,'3-Productie normen'!$B$33:$C$38,2,FALSE),FALSE)))/VLOOKUP(B550,'2-Kosten per locatie'!$A$12:$C$23,3,FALSE)</f>
        <v>0</v>
      </c>
      <c r="Q550" s="74">
        <f t="shared" si="52"/>
        <v>0</v>
      </c>
      <c r="R550" s="75" t="str">
        <f>VLOOKUP(H550,'3-Productie normen'!A:L,12,FALSE)</f>
        <v>V</v>
      </c>
      <c r="S550" s="75"/>
      <c r="U550" s="41">
        <f t="shared" si="53"/>
        <v>11080</v>
      </c>
    </row>
    <row r="551" spans="1:21" ht="14.1" customHeight="1">
      <c r="A551" s="54">
        <f t="shared" si="48"/>
        <v>551</v>
      </c>
      <c r="B551" s="70" t="s">
        <v>527</v>
      </c>
      <c r="C551" s="70"/>
      <c r="D551" s="416" t="s">
        <v>528</v>
      </c>
      <c r="E551" s="416" t="s">
        <v>239</v>
      </c>
      <c r="F551" s="71" t="s">
        <v>279</v>
      </c>
      <c r="G551" s="40" t="s">
        <v>217</v>
      </c>
      <c r="H551" s="40" t="s">
        <v>232</v>
      </c>
      <c r="I551" s="40" t="s">
        <v>576</v>
      </c>
      <c r="J551" s="460">
        <v>3.98</v>
      </c>
      <c r="K551" s="371">
        <f t="shared" si="49"/>
        <v>200</v>
      </c>
      <c r="L551" s="72">
        <v>200</v>
      </c>
      <c r="M551" s="72"/>
      <c r="N551" s="73" t="e">
        <f t="shared" si="50"/>
        <v>#DIV/0!</v>
      </c>
      <c r="O551" s="73">
        <f t="shared" si="51"/>
        <v>0</v>
      </c>
      <c r="P551" s="74">
        <f>IF(L551="nio",0,IF(L551&gt;0,VLOOKUP(H551,'3-Productie normen'!A:J,VLOOKUP(L551,'3-Productie normen'!$B$33:$C$38,2,FALSE),FALSE)))/VLOOKUP(B551,'2-Kosten per locatie'!$A$12:$C$23,3,FALSE)</f>
        <v>0</v>
      </c>
      <c r="Q551" s="74">
        <f t="shared" si="52"/>
        <v>0</v>
      </c>
      <c r="R551" s="75" t="str">
        <f>VLOOKUP(H551,'3-Productie normen'!A:L,12,FALSE)</f>
        <v>V</v>
      </c>
      <c r="S551" s="75"/>
      <c r="U551" s="41">
        <f t="shared" si="53"/>
        <v>796</v>
      </c>
    </row>
    <row r="552" spans="1:21" ht="14.1" customHeight="1">
      <c r="A552" s="54">
        <f t="shared" si="48"/>
        <v>552</v>
      </c>
      <c r="B552" s="70" t="s">
        <v>527</v>
      </c>
      <c r="C552" s="70"/>
      <c r="D552" s="416" t="s">
        <v>528</v>
      </c>
      <c r="E552" s="416" t="s">
        <v>239</v>
      </c>
      <c r="F552" s="71" t="s">
        <v>280</v>
      </c>
      <c r="G552" s="40" t="s">
        <v>268</v>
      </c>
      <c r="H552" s="40" t="s">
        <v>232</v>
      </c>
      <c r="I552" s="40" t="s">
        <v>346</v>
      </c>
      <c r="J552" s="460">
        <v>60.5</v>
      </c>
      <c r="K552" s="371">
        <f t="shared" si="49"/>
        <v>200</v>
      </c>
      <c r="L552" s="72">
        <v>200</v>
      </c>
      <c r="M552" s="72"/>
      <c r="N552" s="73" t="e">
        <f t="shared" si="50"/>
        <v>#DIV/0!</v>
      </c>
      <c r="O552" s="73">
        <f t="shared" si="51"/>
        <v>0</v>
      </c>
      <c r="P552" s="74">
        <f>IF(L552="nio",0,IF(L552&gt;0,VLOOKUP(H552,'3-Productie normen'!A:J,VLOOKUP(L552,'3-Productie normen'!$B$33:$C$38,2,FALSE),FALSE)))/VLOOKUP(B552,'2-Kosten per locatie'!$A$12:$C$23,3,FALSE)</f>
        <v>0</v>
      </c>
      <c r="Q552" s="74">
        <f t="shared" si="52"/>
        <v>0</v>
      </c>
      <c r="R552" s="75" t="str">
        <f>VLOOKUP(H552,'3-Productie normen'!A:L,12,FALSE)</f>
        <v>V</v>
      </c>
      <c r="S552" s="75"/>
      <c r="U552" s="41">
        <f t="shared" si="53"/>
        <v>12100</v>
      </c>
    </row>
    <row r="553" spans="1:21" ht="14.1" customHeight="1">
      <c r="A553" s="54">
        <f t="shared" si="48"/>
        <v>553</v>
      </c>
      <c r="B553" s="70" t="s">
        <v>527</v>
      </c>
      <c r="C553" s="70"/>
      <c r="D553" s="416" t="s">
        <v>528</v>
      </c>
      <c r="E553" s="416" t="s">
        <v>239</v>
      </c>
      <c r="F553" s="71" t="s">
        <v>281</v>
      </c>
      <c r="G553" s="40" t="s">
        <v>257</v>
      </c>
      <c r="H553" s="40" t="s">
        <v>17</v>
      </c>
      <c r="I553" s="40" t="s">
        <v>536</v>
      </c>
      <c r="J553" s="460">
        <v>3.36</v>
      </c>
      <c r="K553" s="371">
        <f t="shared" si="49"/>
        <v>200</v>
      </c>
      <c r="L553" s="72">
        <v>200</v>
      </c>
      <c r="M553" s="72"/>
      <c r="N553" s="73" t="e">
        <f t="shared" si="50"/>
        <v>#DIV/0!</v>
      </c>
      <c r="O553" s="73">
        <f t="shared" si="51"/>
        <v>0</v>
      </c>
      <c r="P553" s="74">
        <f>IF(L553="nio",0,IF(L553&gt;0,VLOOKUP(H553,'3-Productie normen'!A:J,VLOOKUP(L553,'3-Productie normen'!$B$33:$C$38,2,FALSE),FALSE)))/VLOOKUP(B553,'2-Kosten per locatie'!$A$12:$C$23,3,FALSE)</f>
        <v>0</v>
      </c>
      <c r="Q553" s="74">
        <f t="shared" si="52"/>
        <v>0</v>
      </c>
      <c r="R553" s="75" t="str">
        <f>VLOOKUP(H553,'3-Productie normen'!A:L,12,FALSE)</f>
        <v>S</v>
      </c>
      <c r="S553" s="75"/>
      <c r="U553" s="41">
        <f t="shared" si="53"/>
        <v>672</v>
      </c>
    </row>
    <row r="554" spans="1:21" ht="14.1" customHeight="1">
      <c r="A554" s="54">
        <f t="shared" si="48"/>
        <v>554</v>
      </c>
      <c r="B554" s="70" t="s">
        <v>527</v>
      </c>
      <c r="C554" s="70"/>
      <c r="D554" s="416" t="s">
        <v>528</v>
      </c>
      <c r="E554" s="416" t="s">
        <v>239</v>
      </c>
      <c r="F554" s="71" t="s">
        <v>282</v>
      </c>
      <c r="G554" s="70" t="s">
        <v>217</v>
      </c>
      <c r="H554" s="70" t="s">
        <v>232</v>
      </c>
      <c r="I554" s="40" t="s">
        <v>346</v>
      </c>
      <c r="J554" s="460">
        <v>12</v>
      </c>
      <c r="K554" s="371">
        <f t="shared" si="49"/>
        <v>200</v>
      </c>
      <c r="L554" s="72">
        <v>200</v>
      </c>
      <c r="M554" s="72"/>
      <c r="N554" s="73" t="e">
        <f t="shared" si="50"/>
        <v>#DIV/0!</v>
      </c>
      <c r="O554" s="73">
        <f t="shared" si="51"/>
        <v>0</v>
      </c>
      <c r="P554" s="74">
        <f>IF(L554="nio",0,IF(L554&gt;0,VLOOKUP(H554,'3-Productie normen'!A:J,VLOOKUP(L554,'3-Productie normen'!$B$33:$C$38,2,FALSE),FALSE)))/VLOOKUP(B554,'2-Kosten per locatie'!$A$12:$C$23,3,FALSE)</f>
        <v>0</v>
      </c>
      <c r="Q554" s="74">
        <f t="shared" si="52"/>
        <v>0</v>
      </c>
      <c r="R554" s="75" t="str">
        <f>VLOOKUP(H554,'3-Productie normen'!A:L,12,FALSE)</f>
        <v>V</v>
      </c>
      <c r="S554" s="75"/>
      <c r="U554" s="41">
        <f t="shared" si="53"/>
        <v>2400</v>
      </c>
    </row>
    <row r="555" spans="1:21" ht="14.1" customHeight="1">
      <c r="A555" s="54">
        <f t="shared" si="48"/>
        <v>555</v>
      </c>
      <c r="B555" s="70" t="s">
        <v>527</v>
      </c>
      <c r="C555" s="70"/>
      <c r="D555" s="416" t="s">
        <v>528</v>
      </c>
      <c r="E555" s="416" t="s">
        <v>239</v>
      </c>
      <c r="F555" s="71" t="s">
        <v>283</v>
      </c>
      <c r="G555" s="70" t="s">
        <v>577</v>
      </c>
      <c r="H555" s="70" t="s">
        <v>232</v>
      </c>
      <c r="I555" s="40" t="s">
        <v>91</v>
      </c>
      <c r="J555" s="460">
        <v>11.48</v>
      </c>
      <c r="K555" s="371">
        <f t="shared" si="49"/>
        <v>200</v>
      </c>
      <c r="L555" s="72">
        <v>200</v>
      </c>
      <c r="M555" s="72"/>
      <c r="N555" s="73" t="e">
        <f t="shared" si="50"/>
        <v>#DIV/0!</v>
      </c>
      <c r="O555" s="73">
        <f t="shared" si="51"/>
        <v>0</v>
      </c>
      <c r="P555" s="74">
        <f>IF(L555="nio",0,IF(L555&gt;0,VLOOKUP(H555,'3-Productie normen'!A:J,VLOOKUP(L555,'3-Productie normen'!$B$33:$C$38,2,FALSE),FALSE)))/VLOOKUP(B555,'2-Kosten per locatie'!$A$12:$C$23,3,FALSE)</f>
        <v>0</v>
      </c>
      <c r="Q555" s="74">
        <f t="shared" si="52"/>
        <v>0</v>
      </c>
      <c r="R555" s="75" t="str">
        <f>VLOOKUP(H555,'3-Productie normen'!A:L,12,FALSE)</f>
        <v>V</v>
      </c>
      <c r="S555" s="75"/>
      <c r="U555" s="41">
        <f t="shared" si="53"/>
        <v>2296</v>
      </c>
    </row>
    <row r="556" spans="1:21" ht="14.1" customHeight="1">
      <c r="A556" s="54">
        <f t="shared" si="48"/>
        <v>556</v>
      </c>
      <c r="B556" s="70" t="s">
        <v>527</v>
      </c>
      <c r="C556" s="70"/>
      <c r="D556" s="416" t="s">
        <v>528</v>
      </c>
      <c r="E556" s="416" t="s">
        <v>239</v>
      </c>
      <c r="F556" s="71" t="s">
        <v>578</v>
      </c>
      <c r="G556" s="70" t="s">
        <v>577</v>
      </c>
      <c r="H556" s="70" t="s">
        <v>232</v>
      </c>
      <c r="I556" s="40" t="s">
        <v>91</v>
      </c>
      <c r="J556" s="460">
        <v>10.01</v>
      </c>
      <c r="K556" s="371">
        <f t="shared" si="49"/>
        <v>200</v>
      </c>
      <c r="L556" s="72">
        <v>200</v>
      </c>
      <c r="M556" s="72"/>
      <c r="N556" s="73" t="e">
        <f t="shared" si="50"/>
        <v>#DIV/0!</v>
      </c>
      <c r="O556" s="73">
        <f t="shared" si="51"/>
        <v>0</v>
      </c>
      <c r="P556" s="74">
        <f>IF(L556="nio",0,IF(L556&gt;0,VLOOKUP(H556,'3-Productie normen'!A:J,VLOOKUP(L556,'3-Productie normen'!$B$33:$C$38,2,FALSE),FALSE)))/VLOOKUP(B556,'2-Kosten per locatie'!$A$12:$C$23,3,FALSE)</f>
        <v>0</v>
      </c>
      <c r="Q556" s="74">
        <f t="shared" si="52"/>
        <v>0</v>
      </c>
      <c r="R556" s="75" t="str">
        <f>VLOOKUP(H556,'3-Productie normen'!A:L,12,FALSE)</f>
        <v>V</v>
      </c>
      <c r="S556" s="75"/>
      <c r="U556" s="41">
        <f t="shared" si="53"/>
        <v>2002</v>
      </c>
    </row>
    <row r="557" spans="1:21" ht="14.1" customHeight="1">
      <c r="A557" s="54">
        <f t="shared" si="48"/>
        <v>557</v>
      </c>
      <c r="B557" s="70" t="s">
        <v>527</v>
      </c>
      <c r="C557" s="70"/>
      <c r="D557" s="416" t="s">
        <v>528</v>
      </c>
      <c r="E557" s="416" t="s">
        <v>239</v>
      </c>
      <c r="F557" s="71" t="s">
        <v>284</v>
      </c>
      <c r="G557" s="40" t="s">
        <v>568</v>
      </c>
      <c r="H557" s="40" t="s">
        <v>17</v>
      </c>
      <c r="I557" s="40" t="s">
        <v>536</v>
      </c>
      <c r="J557" s="460">
        <v>2.33</v>
      </c>
      <c r="K557" s="371">
        <f t="shared" si="49"/>
        <v>200</v>
      </c>
      <c r="L557" s="72">
        <v>200</v>
      </c>
      <c r="M557" s="72"/>
      <c r="N557" s="73" t="e">
        <f t="shared" si="50"/>
        <v>#DIV/0!</v>
      </c>
      <c r="O557" s="73">
        <f t="shared" si="51"/>
        <v>0</v>
      </c>
      <c r="P557" s="74">
        <f>IF(L557="nio",0,IF(L557&gt;0,VLOOKUP(H557,'3-Productie normen'!A:J,VLOOKUP(L557,'3-Productie normen'!$B$33:$C$38,2,FALSE),FALSE)))/VLOOKUP(B557,'2-Kosten per locatie'!$A$12:$C$23,3,FALSE)</f>
        <v>0</v>
      </c>
      <c r="Q557" s="74">
        <f t="shared" si="52"/>
        <v>0</v>
      </c>
      <c r="R557" s="75" t="str">
        <f>VLOOKUP(H557,'3-Productie normen'!A:L,12,FALSE)</f>
        <v>S</v>
      </c>
      <c r="S557" s="75"/>
      <c r="U557" s="41">
        <f t="shared" si="53"/>
        <v>466</v>
      </c>
    </row>
    <row r="558" spans="1:21" ht="14.1" customHeight="1">
      <c r="A558" s="54">
        <f t="shared" si="48"/>
        <v>558</v>
      </c>
      <c r="B558" s="70" t="s">
        <v>527</v>
      </c>
      <c r="C558" s="70"/>
      <c r="D558" s="416" t="s">
        <v>528</v>
      </c>
      <c r="E558" s="416" t="s">
        <v>239</v>
      </c>
      <c r="F558" s="71" t="s">
        <v>285</v>
      </c>
      <c r="G558" s="40" t="s">
        <v>541</v>
      </c>
      <c r="H558" s="40" t="s">
        <v>233</v>
      </c>
      <c r="I558" s="40" t="s">
        <v>91</v>
      </c>
      <c r="J558" s="460">
        <v>50.42</v>
      </c>
      <c r="K558" s="371">
        <f t="shared" si="49"/>
        <v>200</v>
      </c>
      <c r="L558" s="72">
        <v>200</v>
      </c>
      <c r="M558" s="72"/>
      <c r="N558" s="73" t="e">
        <f t="shared" si="50"/>
        <v>#DIV/0!</v>
      </c>
      <c r="O558" s="73">
        <f t="shared" si="51"/>
        <v>0</v>
      </c>
      <c r="P558" s="74">
        <f>IF(L558="nio",0,IF(L558&gt;0,VLOOKUP(H558,'3-Productie normen'!A:J,VLOOKUP(L558,'3-Productie normen'!$B$33:$C$38,2,FALSE),FALSE)))/VLOOKUP(B558,'2-Kosten per locatie'!$A$12:$C$23,3,FALSE)</f>
        <v>0</v>
      </c>
      <c r="Q558" s="74">
        <f t="shared" si="52"/>
        <v>0</v>
      </c>
      <c r="R558" s="75" t="str">
        <f>VLOOKUP(H558,'3-Productie normen'!A:L,12,FALSE)</f>
        <v>L</v>
      </c>
      <c r="S558" s="75"/>
      <c r="U558" s="41">
        <f t="shared" si="53"/>
        <v>10084</v>
      </c>
    </row>
    <row r="559" spans="1:21" ht="14.1" customHeight="1">
      <c r="A559" s="54">
        <f t="shared" si="48"/>
        <v>559</v>
      </c>
      <c r="B559" s="70" t="s">
        <v>527</v>
      </c>
      <c r="C559" s="70"/>
      <c r="D559" s="416" t="s">
        <v>528</v>
      </c>
      <c r="E559" s="416" t="s">
        <v>239</v>
      </c>
      <c r="F559" s="71" t="s">
        <v>286</v>
      </c>
      <c r="G559" s="40" t="s">
        <v>541</v>
      </c>
      <c r="H559" s="40" t="s">
        <v>233</v>
      </c>
      <c r="I559" s="40" t="s">
        <v>91</v>
      </c>
      <c r="J559" s="460">
        <v>50.75</v>
      </c>
      <c r="K559" s="371">
        <f t="shared" si="49"/>
        <v>200</v>
      </c>
      <c r="L559" s="72">
        <v>200</v>
      </c>
      <c r="M559" s="72"/>
      <c r="N559" s="73" t="e">
        <f t="shared" si="50"/>
        <v>#DIV/0!</v>
      </c>
      <c r="O559" s="73">
        <f t="shared" si="51"/>
        <v>0</v>
      </c>
      <c r="P559" s="74">
        <f>IF(L559="nio",0,IF(L559&gt;0,VLOOKUP(H559,'3-Productie normen'!A:J,VLOOKUP(L559,'3-Productie normen'!$B$33:$C$38,2,FALSE),FALSE)))/VLOOKUP(B559,'2-Kosten per locatie'!$A$12:$C$23,3,FALSE)</f>
        <v>0</v>
      </c>
      <c r="Q559" s="74">
        <f t="shared" si="52"/>
        <v>0</v>
      </c>
      <c r="R559" s="75" t="str">
        <f>VLOOKUP(H559,'3-Productie normen'!A:L,12,FALSE)</f>
        <v>L</v>
      </c>
      <c r="S559" s="75"/>
      <c r="U559" s="41">
        <f t="shared" si="53"/>
        <v>10150</v>
      </c>
    </row>
    <row r="560" spans="1:21" ht="14.1" customHeight="1">
      <c r="A560" s="54">
        <f t="shared" si="48"/>
        <v>560</v>
      </c>
      <c r="B560" s="70" t="s">
        <v>527</v>
      </c>
      <c r="C560" s="70"/>
      <c r="D560" s="416" t="s">
        <v>528</v>
      </c>
      <c r="E560" s="416" t="s">
        <v>239</v>
      </c>
      <c r="F560" s="71" t="s">
        <v>287</v>
      </c>
      <c r="G560" s="40" t="s">
        <v>541</v>
      </c>
      <c r="H560" s="40" t="s">
        <v>233</v>
      </c>
      <c r="I560" s="40" t="s">
        <v>91</v>
      </c>
      <c r="J560" s="460">
        <v>50.5</v>
      </c>
      <c r="K560" s="371">
        <f t="shared" si="49"/>
        <v>200</v>
      </c>
      <c r="L560" s="72">
        <v>200</v>
      </c>
      <c r="M560" s="72"/>
      <c r="N560" s="73" t="e">
        <f t="shared" si="50"/>
        <v>#DIV/0!</v>
      </c>
      <c r="O560" s="73">
        <f t="shared" si="51"/>
        <v>0</v>
      </c>
      <c r="P560" s="74">
        <f>IF(L560="nio",0,IF(L560&gt;0,VLOOKUP(H560,'3-Productie normen'!A:J,VLOOKUP(L560,'3-Productie normen'!$B$33:$C$38,2,FALSE),FALSE)))/VLOOKUP(B560,'2-Kosten per locatie'!$A$12:$C$23,3,FALSE)</f>
        <v>0</v>
      </c>
      <c r="Q560" s="74">
        <f t="shared" si="52"/>
        <v>0</v>
      </c>
      <c r="R560" s="75" t="str">
        <f>VLOOKUP(H560,'3-Productie normen'!A:L,12,FALSE)</f>
        <v>L</v>
      </c>
      <c r="S560" s="75"/>
      <c r="U560" s="41">
        <f t="shared" si="53"/>
        <v>10100</v>
      </c>
    </row>
    <row r="561" spans="1:21" ht="14.1" customHeight="1">
      <c r="A561" s="54">
        <f t="shared" si="48"/>
        <v>561</v>
      </c>
      <c r="B561" s="70" t="s">
        <v>527</v>
      </c>
      <c r="C561" s="70"/>
      <c r="D561" s="418" t="s">
        <v>528</v>
      </c>
      <c r="E561" s="418" t="s">
        <v>239</v>
      </c>
      <c r="F561" s="81" t="s">
        <v>288</v>
      </c>
      <c r="G561" s="81" t="s">
        <v>541</v>
      </c>
      <c r="H561" s="40" t="s">
        <v>233</v>
      </c>
      <c r="I561" s="82" t="s">
        <v>91</v>
      </c>
      <c r="J561" s="461">
        <v>50.68</v>
      </c>
      <c r="K561" s="371">
        <f t="shared" si="49"/>
        <v>200</v>
      </c>
      <c r="L561" s="72">
        <v>200</v>
      </c>
      <c r="M561" s="72"/>
      <c r="N561" s="73" t="e">
        <f t="shared" si="50"/>
        <v>#DIV/0!</v>
      </c>
      <c r="O561" s="73">
        <f t="shared" si="51"/>
        <v>0</v>
      </c>
      <c r="P561" s="74">
        <f>IF(L561="nio",0,IF(L561&gt;0,VLOOKUP(H561,'3-Productie normen'!A:J,VLOOKUP(L561,'3-Productie normen'!$B$33:$C$38,2,FALSE),FALSE)))/VLOOKUP(B561,'2-Kosten per locatie'!$A$12:$C$23,3,FALSE)</f>
        <v>0</v>
      </c>
      <c r="Q561" s="74">
        <f t="shared" si="52"/>
        <v>0</v>
      </c>
      <c r="R561" s="75" t="str">
        <f>VLOOKUP(H561,'3-Productie normen'!A:L,12,FALSE)</f>
        <v>L</v>
      </c>
      <c r="S561" s="75"/>
      <c r="U561" s="41">
        <f t="shared" si="53"/>
        <v>10136</v>
      </c>
    </row>
    <row r="562" spans="1:21" ht="14.1" customHeight="1">
      <c r="A562" s="54">
        <f t="shared" si="48"/>
        <v>562</v>
      </c>
      <c r="B562" s="70" t="s">
        <v>527</v>
      </c>
      <c r="C562" s="70"/>
      <c r="D562" s="418" t="s">
        <v>528</v>
      </c>
      <c r="E562" s="418" t="s">
        <v>239</v>
      </c>
      <c r="F562" s="81" t="s">
        <v>289</v>
      </c>
      <c r="G562" s="81" t="s">
        <v>268</v>
      </c>
      <c r="H562" s="81" t="s">
        <v>232</v>
      </c>
      <c r="I562" s="82" t="s">
        <v>346</v>
      </c>
      <c r="J562" s="461">
        <v>70.7</v>
      </c>
      <c r="K562" s="371">
        <f t="shared" si="49"/>
        <v>200</v>
      </c>
      <c r="L562" s="72">
        <v>200</v>
      </c>
      <c r="M562" s="72"/>
      <c r="N562" s="73" t="e">
        <f t="shared" si="50"/>
        <v>#DIV/0!</v>
      </c>
      <c r="O562" s="73">
        <f t="shared" si="51"/>
        <v>0</v>
      </c>
      <c r="P562" s="74">
        <f>IF(L562="nio",0,IF(L562&gt;0,VLOOKUP(H562,'3-Productie normen'!A:J,VLOOKUP(L562,'3-Productie normen'!$B$33:$C$38,2,FALSE),FALSE)))/VLOOKUP(B562,'2-Kosten per locatie'!$A$12:$C$23,3,FALSE)</f>
        <v>0</v>
      </c>
      <c r="Q562" s="74">
        <f t="shared" si="52"/>
        <v>0</v>
      </c>
      <c r="R562" s="75" t="str">
        <f>VLOOKUP(H562,'3-Productie normen'!A:L,12,FALSE)</f>
        <v>V</v>
      </c>
      <c r="S562" s="75"/>
      <c r="U562" s="41">
        <f t="shared" si="53"/>
        <v>14140</v>
      </c>
    </row>
    <row r="563" spans="1:21" ht="14.1" customHeight="1">
      <c r="A563" s="54">
        <f t="shared" si="48"/>
        <v>563</v>
      </c>
      <c r="B563" s="70" t="s">
        <v>527</v>
      </c>
      <c r="C563" s="70"/>
      <c r="D563" s="418" t="s">
        <v>528</v>
      </c>
      <c r="E563" s="418" t="s">
        <v>239</v>
      </c>
      <c r="F563" s="81" t="s">
        <v>290</v>
      </c>
      <c r="G563" s="81" t="s">
        <v>541</v>
      </c>
      <c r="H563" s="40" t="s">
        <v>233</v>
      </c>
      <c r="I563" s="82" t="s">
        <v>91</v>
      </c>
      <c r="J563" s="461">
        <v>56.6</v>
      </c>
      <c r="K563" s="371">
        <f t="shared" si="49"/>
        <v>200</v>
      </c>
      <c r="L563" s="72">
        <v>200</v>
      </c>
      <c r="M563" s="72"/>
      <c r="N563" s="73" t="e">
        <f t="shared" si="50"/>
        <v>#DIV/0!</v>
      </c>
      <c r="O563" s="73">
        <f t="shared" si="51"/>
        <v>0</v>
      </c>
      <c r="P563" s="74">
        <f>IF(L563="nio",0,IF(L563&gt;0,VLOOKUP(H563,'3-Productie normen'!A:J,VLOOKUP(L563,'3-Productie normen'!$B$33:$C$38,2,FALSE),FALSE)))/VLOOKUP(B563,'2-Kosten per locatie'!$A$12:$C$23,3,FALSE)</f>
        <v>0</v>
      </c>
      <c r="Q563" s="74">
        <f t="shared" si="52"/>
        <v>0</v>
      </c>
      <c r="R563" s="75" t="str">
        <f>VLOOKUP(H563,'3-Productie normen'!A:L,12,FALSE)</f>
        <v>L</v>
      </c>
      <c r="S563" s="75"/>
      <c r="U563" s="41">
        <f t="shared" si="53"/>
        <v>11320</v>
      </c>
    </row>
    <row r="564" spans="1:21" ht="14.1" customHeight="1">
      <c r="A564" s="54">
        <f t="shared" si="48"/>
        <v>564</v>
      </c>
      <c r="B564" s="70" t="s">
        <v>527</v>
      </c>
      <c r="C564" s="70"/>
      <c r="D564" s="418" t="s">
        <v>528</v>
      </c>
      <c r="E564" s="418" t="s">
        <v>239</v>
      </c>
      <c r="F564" s="81" t="s">
        <v>291</v>
      </c>
      <c r="G564" s="81" t="s">
        <v>541</v>
      </c>
      <c r="H564" s="40" t="s">
        <v>233</v>
      </c>
      <c r="I564" s="82" t="s">
        <v>91</v>
      </c>
      <c r="J564" s="461">
        <v>56.7</v>
      </c>
      <c r="K564" s="371">
        <f t="shared" si="49"/>
        <v>200</v>
      </c>
      <c r="L564" s="72">
        <v>200</v>
      </c>
      <c r="M564" s="72"/>
      <c r="N564" s="73" t="e">
        <f t="shared" si="50"/>
        <v>#DIV/0!</v>
      </c>
      <c r="O564" s="73">
        <f t="shared" si="51"/>
        <v>0</v>
      </c>
      <c r="P564" s="74">
        <f>IF(L564="nio",0,IF(L564&gt;0,VLOOKUP(H564,'3-Productie normen'!A:J,VLOOKUP(L564,'3-Productie normen'!$B$33:$C$38,2,FALSE),FALSE)))/VLOOKUP(B564,'2-Kosten per locatie'!$A$12:$C$23,3,FALSE)</f>
        <v>0</v>
      </c>
      <c r="Q564" s="74">
        <f t="shared" si="52"/>
        <v>0</v>
      </c>
      <c r="R564" s="75" t="str">
        <f>VLOOKUP(H564,'3-Productie normen'!A:L,12,FALSE)</f>
        <v>L</v>
      </c>
      <c r="S564" s="75"/>
      <c r="U564" s="41">
        <f t="shared" si="53"/>
        <v>11340</v>
      </c>
    </row>
    <row r="565" spans="1:21" ht="14.1" customHeight="1">
      <c r="A565" s="54">
        <f t="shared" si="48"/>
        <v>565</v>
      </c>
      <c r="B565" s="70" t="s">
        <v>527</v>
      </c>
      <c r="C565" s="70"/>
      <c r="D565" s="418" t="s">
        <v>528</v>
      </c>
      <c r="E565" s="418" t="s">
        <v>239</v>
      </c>
      <c r="F565" s="81" t="s">
        <v>292</v>
      </c>
      <c r="G565" s="81" t="s">
        <v>541</v>
      </c>
      <c r="H565" s="40" t="s">
        <v>233</v>
      </c>
      <c r="I565" s="82" t="s">
        <v>91</v>
      </c>
      <c r="J565" s="461">
        <v>58.3</v>
      </c>
      <c r="K565" s="371">
        <f t="shared" si="49"/>
        <v>200</v>
      </c>
      <c r="L565" s="72">
        <v>200</v>
      </c>
      <c r="M565" s="72"/>
      <c r="N565" s="73" t="e">
        <f t="shared" si="50"/>
        <v>#DIV/0!</v>
      </c>
      <c r="O565" s="73">
        <f t="shared" si="51"/>
        <v>0</v>
      </c>
      <c r="P565" s="74">
        <f>IF(L565="nio",0,IF(L565&gt;0,VLOOKUP(H565,'3-Productie normen'!A:J,VLOOKUP(L565,'3-Productie normen'!$B$33:$C$38,2,FALSE),FALSE)))/VLOOKUP(B565,'2-Kosten per locatie'!$A$12:$C$23,3,FALSE)</f>
        <v>0</v>
      </c>
      <c r="Q565" s="74">
        <f t="shared" si="52"/>
        <v>0</v>
      </c>
      <c r="R565" s="75" t="str">
        <f>VLOOKUP(H565,'3-Productie normen'!A:L,12,FALSE)</f>
        <v>L</v>
      </c>
      <c r="S565" s="75"/>
      <c r="U565" s="41">
        <f t="shared" si="53"/>
        <v>11660</v>
      </c>
    </row>
    <row r="566" spans="1:21" ht="14.1" customHeight="1">
      <c r="A566" s="54">
        <f t="shared" si="48"/>
        <v>566</v>
      </c>
      <c r="B566" s="70" t="s">
        <v>527</v>
      </c>
      <c r="C566" s="70"/>
      <c r="D566" s="418" t="s">
        <v>528</v>
      </c>
      <c r="E566" s="418" t="s">
        <v>239</v>
      </c>
      <c r="F566" s="81" t="s">
        <v>293</v>
      </c>
      <c r="G566" s="81" t="s">
        <v>541</v>
      </c>
      <c r="H566" s="40" t="s">
        <v>233</v>
      </c>
      <c r="I566" s="81" t="s">
        <v>91</v>
      </c>
      <c r="J566" s="461">
        <v>62.2</v>
      </c>
      <c r="K566" s="371">
        <f t="shared" si="49"/>
        <v>200</v>
      </c>
      <c r="L566" s="72">
        <v>200</v>
      </c>
      <c r="M566" s="72"/>
      <c r="N566" s="73" t="e">
        <f t="shared" si="50"/>
        <v>#DIV/0!</v>
      </c>
      <c r="O566" s="73">
        <f t="shared" si="51"/>
        <v>0</v>
      </c>
      <c r="P566" s="74">
        <f>IF(L566="nio",0,IF(L566&gt;0,VLOOKUP(H566,'3-Productie normen'!A:J,VLOOKUP(L566,'3-Productie normen'!$B$33:$C$38,2,FALSE),FALSE)))/VLOOKUP(B566,'2-Kosten per locatie'!$A$12:$C$23,3,FALSE)</f>
        <v>0</v>
      </c>
      <c r="Q566" s="74">
        <f t="shared" si="52"/>
        <v>0</v>
      </c>
      <c r="R566" s="75" t="str">
        <f>VLOOKUP(H566,'3-Productie normen'!A:L,12,FALSE)</f>
        <v>L</v>
      </c>
      <c r="S566" s="75"/>
      <c r="U566" s="41">
        <f t="shared" si="53"/>
        <v>12440</v>
      </c>
    </row>
    <row r="567" spans="1:21" ht="14.1" customHeight="1">
      <c r="A567" s="54">
        <f t="shared" si="48"/>
        <v>567</v>
      </c>
      <c r="B567" s="70" t="s">
        <v>527</v>
      </c>
      <c r="C567" s="70"/>
      <c r="D567" s="418" t="s">
        <v>528</v>
      </c>
      <c r="E567" s="418" t="s">
        <v>239</v>
      </c>
      <c r="F567" s="81" t="s">
        <v>294</v>
      </c>
      <c r="G567" s="81" t="s">
        <v>217</v>
      </c>
      <c r="H567" s="81" t="s">
        <v>232</v>
      </c>
      <c r="I567" s="81" t="s">
        <v>346</v>
      </c>
      <c r="J567" s="461">
        <v>11</v>
      </c>
      <c r="K567" s="371">
        <f t="shared" si="49"/>
        <v>200</v>
      </c>
      <c r="L567" s="72">
        <v>200</v>
      </c>
      <c r="M567" s="72"/>
      <c r="N567" s="73" t="e">
        <f t="shared" si="50"/>
        <v>#DIV/0!</v>
      </c>
      <c r="O567" s="73">
        <f t="shared" si="51"/>
        <v>0</v>
      </c>
      <c r="P567" s="74">
        <f>IF(L567="nio",0,IF(L567&gt;0,VLOOKUP(H567,'3-Productie normen'!A:J,VLOOKUP(L567,'3-Productie normen'!$B$33:$C$38,2,FALSE),FALSE)))/VLOOKUP(B567,'2-Kosten per locatie'!$A$12:$C$23,3,FALSE)</f>
        <v>0</v>
      </c>
      <c r="Q567" s="74">
        <f t="shared" si="52"/>
        <v>0</v>
      </c>
      <c r="R567" s="75" t="str">
        <f>VLOOKUP(H567,'3-Productie normen'!A:L,12,FALSE)</f>
        <v>V</v>
      </c>
      <c r="S567" s="75"/>
      <c r="U567" s="41">
        <f t="shared" si="53"/>
        <v>2200</v>
      </c>
    </row>
    <row r="568" spans="1:21" ht="14.1" customHeight="1">
      <c r="A568" s="54">
        <f t="shared" si="48"/>
        <v>568</v>
      </c>
      <c r="B568" s="70" t="s">
        <v>527</v>
      </c>
      <c r="C568" s="70"/>
      <c r="D568" s="418" t="s">
        <v>528</v>
      </c>
      <c r="E568" s="418" t="s">
        <v>239</v>
      </c>
      <c r="F568" s="81" t="s">
        <v>345</v>
      </c>
      <c r="G568" s="81" t="s">
        <v>257</v>
      </c>
      <c r="H568" s="81" t="s">
        <v>17</v>
      </c>
      <c r="I568" s="81" t="s">
        <v>536</v>
      </c>
      <c r="J568" s="461">
        <v>11.63</v>
      </c>
      <c r="K568" s="371">
        <f t="shared" si="49"/>
        <v>200</v>
      </c>
      <c r="L568" s="72">
        <v>200</v>
      </c>
      <c r="M568" s="72"/>
      <c r="N568" s="73" t="e">
        <f t="shared" si="50"/>
        <v>#DIV/0!</v>
      </c>
      <c r="O568" s="73">
        <f t="shared" si="51"/>
        <v>0</v>
      </c>
      <c r="P568" s="74">
        <f>IF(L568="nio",0,IF(L568&gt;0,VLOOKUP(H568,'3-Productie normen'!A:J,VLOOKUP(L568,'3-Productie normen'!$B$33:$C$38,2,FALSE),FALSE)))/VLOOKUP(B568,'2-Kosten per locatie'!$A$12:$C$23,3,FALSE)</f>
        <v>0</v>
      </c>
      <c r="Q568" s="74">
        <f t="shared" si="52"/>
        <v>0</v>
      </c>
      <c r="R568" s="75" t="str">
        <f>VLOOKUP(H568,'3-Productie normen'!A:L,12,FALSE)</f>
        <v>S</v>
      </c>
      <c r="S568" s="75"/>
      <c r="U568" s="41">
        <f t="shared" si="53"/>
        <v>2326</v>
      </c>
    </row>
    <row r="569" spans="1:21" ht="14.1" customHeight="1">
      <c r="A569" s="54">
        <f t="shared" si="48"/>
        <v>569</v>
      </c>
      <c r="B569" s="70" t="s">
        <v>527</v>
      </c>
      <c r="C569" s="70"/>
      <c r="D569" s="418" t="s">
        <v>528</v>
      </c>
      <c r="E569" s="418" t="s">
        <v>239</v>
      </c>
      <c r="F569" s="81" t="s">
        <v>295</v>
      </c>
      <c r="G569" s="81" t="s">
        <v>257</v>
      </c>
      <c r="H569" s="81" t="s">
        <v>17</v>
      </c>
      <c r="I569" s="81" t="s">
        <v>536</v>
      </c>
      <c r="J569" s="461">
        <v>11.55</v>
      </c>
      <c r="K569" s="371">
        <f t="shared" si="49"/>
        <v>200</v>
      </c>
      <c r="L569" s="72">
        <v>200</v>
      </c>
      <c r="M569" s="72"/>
      <c r="N569" s="73" t="e">
        <f t="shared" si="50"/>
        <v>#DIV/0!</v>
      </c>
      <c r="O569" s="73">
        <f t="shared" si="51"/>
        <v>0</v>
      </c>
      <c r="P569" s="74">
        <f>IF(L569="nio",0,IF(L569&gt;0,VLOOKUP(H569,'3-Productie normen'!A:J,VLOOKUP(L569,'3-Productie normen'!$B$33:$C$38,2,FALSE),FALSE)))/VLOOKUP(B569,'2-Kosten per locatie'!$A$12:$C$23,3,FALSE)</f>
        <v>0</v>
      </c>
      <c r="Q569" s="74">
        <f t="shared" si="52"/>
        <v>0</v>
      </c>
      <c r="R569" s="75" t="str">
        <f>VLOOKUP(H569,'3-Productie normen'!A:L,12,FALSE)</f>
        <v>S</v>
      </c>
      <c r="S569" s="75"/>
      <c r="U569" s="41">
        <f t="shared" si="53"/>
        <v>2310</v>
      </c>
    </row>
    <row r="570" spans="1:21" ht="14.1" customHeight="1">
      <c r="A570" s="54">
        <f t="shared" si="48"/>
        <v>570</v>
      </c>
      <c r="B570" s="70" t="s">
        <v>527</v>
      </c>
      <c r="C570" s="70"/>
      <c r="D570" s="418" t="s">
        <v>528</v>
      </c>
      <c r="E570" s="418" t="s">
        <v>239</v>
      </c>
      <c r="F570" s="81" t="s">
        <v>296</v>
      </c>
      <c r="G570" s="81" t="s">
        <v>267</v>
      </c>
      <c r="H570" s="81" t="s">
        <v>177</v>
      </c>
      <c r="I570" s="81" t="s">
        <v>346</v>
      </c>
      <c r="J570" s="461">
        <v>10.8</v>
      </c>
      <c r="K570" s="371">
        <f t="shared" si="49"/>
        <v>200</v>
      </c>
      <c r="L570" s="72">
        <v>200</v>
      </c>
      <c r="M570" s="72"/>
      <c r="N570" s="73" t="e">
        <f t="shared" si="50"/>
        <v>#DIV/0!</v>
      </c>
      <c r="O570" s="73">
        <f t="shared" si="51"/>
        <v>0</v>
      </c>
      <c r="P570" s="74">
        <f>IF(L570="nio",0,IF(L570&gt;0,VLOOKUP(H570,'3-Productie normen'!A:J,VLOOKUP(L570,'3-Productie normen'!$B$33:$C$38,2,FALSE),FALSE)))/VLOOKUP(B570,'2-Kosten per locatie'!$A$12:$C$23,3,FALSE)</f>
        <v>0</v>
      </c>
      <c r="Q570" s="74">
        <f t="shared" si="52"/>
        <v>0</v>
      </c>
      <c r="R570" s="75" t="str">
        <f>VLOOKUP(H570,'3-Productie normen'!A:L,12,FALSE)</f>
        <v>V</v>
      </c>
      <c r="S570" s="75"/>
      <c r="U570" s="41">
        <f t="shared" si="53"/>
        <v>2160</v>
      </c>
    </row>
    <row r="571" spans="1:21" ht="14.1" customHeight="1">
      <c r="A571" s="54">
        <f t="shared" si="48"/>
        <v>571</v>
      </c>
      <c r="B571" s="70" t="s">
        <v>527</v>
      </c>
      <c r="C571" s="70"/>
      <c r="D571" s="418" t="s">
        <v>528</v>
      </c>
      <c r="E571" s="418" t="s">
        <v>239</v>
      </c>
      <c r="F571" s="81" t="s">
        <v>297</v>
      </c>
      <c r="G571" s="81" t="s">
        <v>579</v>
      </c>
      <c r="H571" s="81" t="s">
        <v>176</v>
      </c>
      <c r="I571" s="81" t="s">
        <v>346</v>
      </c>
      <c r="J571" s="461">
        <v>50.2</v>
      </c>
      <c r="K571" s="371">
        <f t="shared" si="49"/>
        <v>200</v>
      </c>
      <c r="L571" s="72">
        <v>200</v>
      </c>
      <c r="M571" s="72"/>
      <c r="N571" s="73" t="e">
        <f t="shared" si="50"/>
        <v>#DIV/0!</v>
      </c>
      <c r="O571" s="73">
        <f t="shared" si="51"/>
        <v>0</v>
      </c>
      <c r="P571" s="74">
        <f>IF(L571="nio",0,IF(L571&gt;0,VLOOKUP(H571,'3-Productie normen'!A:J,VLOOKUP(L571,'3-Productie normen'!$B$33:$C$38,2,FALSE),FALSE)))/VLOOKUP(B571,'2-Kosten per locatie'!$A$12:$C$23,3,FALSE)</f>
        <v>0</v>
      </c>
      <c r="Q571" s="74">
        <f t="shared" si="52"/>
        <v>0</v>
      </c>
      <c r="R571" s="75" t="str">
        <f>VLOOKUP(H571,'3-Productie normen'!A:L,12,FALSE)</f>
        <v>B</v>
      </c>
      <c r="S571" s="75"/>
      <c r="U571" s="41">
        <f t="shared" si="53"/>
        <v>10040</v>
      </c>
    </row>
    <row r="572" spans="1:21" ht="14.1" customHeight="1">
      <c r="A572" s="54">
        <f t="shared" si="48"/>
        <v>572</v>
      </c>
      <c r="B572" s="70" t="s">
        <v>527</v>
      </c>
      <c r="C572" s="70"/>
      <c r="D572" s="418" t="s">
        <v>528</v>
      </c>
      <c r="E572" s="418" t="s">
        <v>239</v>
      </c>
      <c r="F572" s="81" t="s">
        <v>298</v>
      </c>
      <c r="G572" s="81" t="s">
        <v>580</v>
      </c>
      <c r="H572" s="81" t="s">
        <v>17</v>
      </c>
      <c r="I572" s="81" t="s">
        <v>536</v>
      </c>
      <c r="J572" s="461">
        <v>7.43</v>
      </c>
      <c r="K572" s="371">
        <f t="shared" si="49"/>
        <v>0</v>
      </c>
      <c r="L572" s="72" t="s">
        <v>101</v>
      </c>
      <c r="M572" s="72"/>
      <c r="N572" s="73">
        <f t="shared" si="50"/>
        <v>0</v>
      </c>
      <c r="O572" s="73">
        <f t="shared" si="51"/>
        <v>0</v>
      </c>
      <c r="P572" s="74">
        <f>IF(L572="nio",0,IF(L572&gt;0,VLOOKUP(H572,'3-Productie normen'!A:J,VLOOKUP(L572,'3-Productie normen'!$B$33:$C$38,2,FALSE),FALSE)))/VLOOKUP(B572,'2-Kosten per locatie'!$A$12:$C$23,3,FALSE)</f>
        <v>0</v>
      </c>
      <c r="Q572" s="74">
        <f t="shared" si="52"/>
        <v>0</v>
      </c>
      <c r="R572" s="75" t="str">
        <f>VLOOKUP(H572,'3-Productie normen'!A:L,12,FALSE)</f>
        <v>S</v>
      </c>
      <c r="S572" s="75"/>
      <c r="U572" s="41">
        <f t="shared" si="53"/>
        <v>0</v>
      </c>
    </row>
    <row r="573" spans="1:21" ht="14.1" customHeight="1">
      <c r="A573" s="54">
        <f t="shared" si="48"/>
        <v>573</v>
      </c>
      <c r="B573" s="70" t="s">
        <v>527</v>
      </c>
      <c r="C573" s="70"/>
      <c r="D573" s="418" t="s">
        <v>528</v>
      </c>
      <c r="E573" s="418" t="s">
        <v>239</v>
      </c>
      <c r="F573" s="81" t="s">
        <v>581</v>
      </c>
      <c r="G573" s="81" t="s">
        <v>543</v>
      </c>
      <c r="H573" s="81" t="s">
        <v>17</v>
      </c>
      <c r="I573" s="81" t="s">
        <v>536</v>
      </c>
      <c r="J573" s="461">
        <v>3.25</v>
      </c>
      <c r="K573" s="371">
        <f t="shared" si="49"/>
        <v>0</v>
      </c>
      <c r="L573" s="72" t="s">
        <v>101</v>
      </c>
      <c r="M573" s="72"/>
      <c r="N573" s="73">
        <f t="shared" si="50"/>
        <v>0</v>
      </c>
      <c r="O573" s="73">
        <f t="shared" si="51"/>
        <v>0</v>
      </c>
      <c r="P573" s="74">
        <f>IF(L573="nio",0,IF(L573&gt;0,VLOOKUP(H573,'3-Productie normen'!A:J,VLOOKUP(L573,'3-Productie normen'!$B$33:$C$38,2,FALSE),FALSE)))/VLOOKUP(B573,'2-Kosten per locatie'!$A$12:$C$23,3,FALSE)</f>
        <v>0</v>
      </c>
      <c r="Q573" s="74">
        <f t="shared" si="52"/>
        <v>0</v>
      </c>
      <c r="R573" s="75" t="str">
        <f>VLOOKUP(H573,'3-Productie normen'!A:L,12,FALSE)</f>
        <v>S</v>
      </c>
      <c r="S573" s="75"/>
      <c r="U573" s="41">
        <f t="shared" si="53"/>
        <v>0</v>
      </c>
    </row>
    <row r="574" spans="1:21" ht="14.1" customHeight="1">
      <c r="A574" s="54">
        <f t="shared" si="48"/>
        <v>574</v>
      </c>
      <c r="B574" s="70" t="s">
        <v>527</v>
      </c>
      <c r="C574" s="70"/>
      <c r="D574" s="418" t="s">
        <v>528</v>
      </c>
      <c r="E574" s="418" t="s">
        <v>239</v>
      </c>
      <c r="F574" s="81" t="s">
        <v>582</v>
      </c>
      <c r="G574" s="81" t="s">
        <v>583</v>
      </c>
      <c r="H574" s="81" t="s">
        <v>17</v>
      </c>
      <c r="I574" s="81" t="s">
        <v>536</v>
      </c>
      <c r="J574" s="461">
        <v>7.47</v>
      </c>
      <c r="K574" s="371">
        <f t="shared" si="49"/>
        <v>0</v>
      </c>
      <c r="L574" s="72" t="s">
        <v>101</v>
      </c>
      <c r="M574" s="72"/>
      <c r="N574" s="73">
        <f t="shared" si="50"/>
        <v>0</v>
      </c>
      <c r="O574" s="73">
        <f t="shared" si="51"/>
        <v>0</v>
      </c>
      <c r="P574" s="74">
        <f>IF(L574="nio",0,IF(L574&gt;0,VLOOKUP(H574,'3-Productie normen'!A:J,VLOOKUP(L574,'3-Productie normen'!$B$33:$C$38,2,FALSE),FALSE)))/VLOOKUP(B574,'2-Kosten per locatie'!$A$12:$C$23,3,FALSE)</f>
        <v>0</v>
      </c>
      <c r="Q574" s="74">
        <f t="shared" si="52"/>
        <v>0</v>
      </c>
      <c r="R574" s="75" t="str">
        <f>VLOOKUP(H574,'3-Productie normen'!A:L,12,FALSE)</f>
        <v>S</v>
      </c>
      <c r="S574" s="75"/>
      <c r="U574" s="41">
        <f t="shared" si="53"/>
        <v>0</v>
      </c>
    </row>
    <row r="575" spans="1:21" ht="14.1" customHeight="1">
      <c r="A575" s="54">
        <f t="shared" si="48"/>
        <v>575</v>
      </c>
      <c r="B575" s="70" t="s">
        <v>527</v>
      </c>
      <c r="C575" s="70"/>
      <c r="D575" s="418" t="s">
        <v>528</v>
      </c>
      <c r="E575" s="418" t="s">
        <v>239</v>
      </c>
      <c r="F575" s="81" t="s">
        <v>584</v>
      </c>
      <c r="G575" s="81" t="s">
        <v>585</v>
      </c>
      <c r="H575" s="81" t="s">
        <v>176</v>
      </c>
      <c r="I575" s="81" t="s">
        <v>346</v>
      </c>
      <c r="J575" s="461">
        <v>70.03</v>
      </c>
      <c r="K575" s="371">
        <f t="shared" si="49"/>
        <v>200</v>
      </c>
      <c r="L575" s="72">
        <v>200</v>
      </c>
      <c r="M575" s="72"/>
      <c r="N575" s="73" t="e">
        <f t="shared" si="50"/>
        <v>#DIV/0!</v>
      </c>
      <c r="O575" s="73">
        <f t="shared" si="51"/>
        <v>0</v>
      </c>
      <c r="P575" s="74">
        <f>IF(L575="nio",0,IF(L575&gt;0,VLOOKUP(H575,'3-Productie normen'!A:J,VLOOKUP(L575,'3-Productie normen'!$B$33:$C$38,2,FALSE),FALSE)))/VLOOKUP(B575,'2-Kosten per locatie'!$A$12:$C$23,3,FALSE)</f>
        <v>0</v>
      </c>
      <c r="Q575" s="74">
        <f t="shared" si="52"/>
        <v>0</v>
      </c>
      <c r="R575" s="75" t="str">
        <f>VLOOKUP(H575,'3-Productie normen'!A:L,12,FALSE)</f>
        <v>B</v>
      </c>
      <c r="S575" s="75"/>
      <c r="U575" s="41">
        <f t="shared" si="53"/>
        <v>14006</v>
      </c>
    </row>
    <row r="576" spans="1:21" ht="14.1" customHeight="1">
      <c r="A576" s="54">
        <f t="shared" si="48"/>
        <v>576</v>
      </c>
      <c r="B576" s="70" t="s">
        <v>527</v>
      </c>
      <c r="C576" s="70"/>
      <c r="D576" s="418" t="s">
        <v>528</v>
      </c>
      <c r="E576" s="418" t="s">
        <v>239</v>
      </c>
      <c r="F576" s="81" t="s">
        <v>586</v>
      </c>
      <c r="G576" s="81" t="s">
        <v>256</v>
      </c>
      <c r="H576" s="81" t="s">
        <v>176</v>
      </c>
      <c r="I576" s="81" t="s">
        <v>346</v>
      </c>
      <c r="J576" s="461">
        <v>15.9</v>
      </c>
      <c r="K576" s="371">
        <f t="shared" si="49"/>
        <v>200</v>
      </c>
      <c r="L576" s="72">
        <v>200</v>
      </c>
      <c r="M576" s="72"/>
      <c r="N576" s="73" t="e">
        <f t="shared" si="50"/>
        <v>#DIV/0!</v>
      </c>
      <c r="O576" s="73">
        <f t="shared" si="51"/>
        <v>0</v>
      </c>
      <c r="P576" s="74">
        <f>IF(L576="nio",0,IF(L576&gt;0,VLOOKUP(H576,'3-Productie normen'!A:J,VLOOKUP(L576,'3-Productie normen'!$B$33:$C$38,2,FALSE),FALSE)))/VLOOKUP(B576,'2-Kosten per locatie'!$A$12:$C$23,3,FALSE)</f>
        <v>0</v>
      </c>
      <c r="Q576" s="74">
        <f t="shared" si="52"/>
        <v>0</v>
      </c>
      <c r="R576" s="75" t="str">
        <f>VLOOKUP(H576,'3-Productie normen'!A:L,12,FALSE)</f>
        <v>B</v>
      </c>
      <c r="S576" s="75"/>
      <c r="U576" s="41">
        <f t="shared" si="53"/>
        <v>3180</v>
      </c>
    </row>
    <row r="577" spans="1:21" ht="14.1" customHeight="1">
      <c r="A577" s="54">
        <f t="shared" si="48"/>
        <v>577</v>
      </c>
      <c r="B577" s="70" t="s">
        <v>527</v>
      </c>
      <c r="C577" s="70"/>
      <c r="D577" s="418" t="s">
        <v>528</v>
      </c>
      <c r="E577" s="418" t="s">
        <v>239</v>
      </c>
      <c r="F577" s="81" t="s">
        <v>587</v>
      </c>
      <c r="G577" s="81" t="s">
        <v>268</v>
      </c>
      <c r="H577" s="81" t="s">
        <v>232</v>
      </c>
      <c r="I577" s="81" t="s">
        <v>346</v>
      </c>
      <c r="J577" s="461">
        <v>22.41</v>
      </c>
      <c r="K577" s="371">
        <f t="shared" si="49"/>
        <v>0</v>
      </c>
      <c r="L577" s="72" t="s">
        <v>101</v>
      </c>
      <c r="M577" s="72"/>
      <c r="N577" s="73">
        <f t="shared" si="50"/>
        <v>0</v>
      </c>
      <c r="O577" s="73">
        <f t="shared" si="51"/>
        <v>0</v>
      </c>
      <c r="P577" s="74">
        <f>IF(L577="nio",0,IF(L577&gt;0,VLOOKUP(H577,'3-Productie normen'!A:J,VLOOKUP(L577,'3-Productie normen'!$B$33:$C$38,2,FALSE),FALSE)))/VLOOKUP(B577,'2-Kosten per locatie'!$A$12:$C$23,3,FALSE)</f>
        <v>0</v>
      </c>
      <c r="Q577" s="74">
        <f t="shared" si="52"/>
        <v>0</v>
      </c>
      <c r="R577" s="75" t="str">
        <f>VLOOKUP(H577,'3-Productie normen'!A:L,12,FALSE)</f>
        <v>V</v>
      </c>
      <c r="S577" s="75"/>
      <c r="U577" s="41">
        <f t="shared" si="53"/>
        <v>0</v>
      </c>
    </row>
    <row r="578" spans="1:21" ht="14.1" customHeight="1">
      <c r="A578" s="54">
        <f t="shared" si="48"/>
        <v>578</v>
      </c>
      <c r="B578" s="70" t="s">
        <v>527</v>
      </c>
      <c r="C578" s="70"/>
      <c r="D578" s="418" t="s">
        <v>528</v>
      </c>
      <c r="E578" s="418" t="s">
        <v>239</v>
      </c>
      <c r="F578" s="81" t="s">
        <v>588</v>
      </c>
      <c r="G578" s="81" t="s">
        <v>262</v>
      </c>
      <c r="H578" s="81" t="s">
        <v>177</v>
      </c>
      <c r="I578" s="81" t="s">
        <v>536</v>
      </c>
      <c r="J578" s="461">
        <v>28.48</v>
      </c>
      <c r="K578" s="371">
        <f t="shared" si="49"/>
        <v>200</v>
      </c>
      <c r="L578" s="72">
        <v>200</v>
      </c>
      <c r="M578" s="72"/>
      <c r="N578" s="73" t="e">
        <f t="shared" si="50"/>
        <v>#DIV/0!</v>
      </c>
      <c r="O578" s="73">
        <f t="shared" si="51"/>
        <v>0</v>
      </c>
      <c r="P578" s="74">
        <f>IF(L578="nio",0,IF(L578&gt;0,VLOOKUP(H578,'3-Productie normen'!A:J,VLOOKUP(L578,'3-Productie normen'!$B$33:$C$38,2,FALSE),FALSE)))/VLOOKUP(B578,'2-Kosten per locatie'!$A$12:$C$23,3,FALSE)</f>
        <v>0</v>
      </c>
      <c r="Q578" s="74">
        <f t="shared" si="52"/>
        <v>0</v>
      </c>
      <c r="R578" s="75" t="str">
        <f>VLOOKUP(H578,'3-Productie normen'!A:L,12,FALSE)</f>
        <v>V</v>
      </c>
      <c r="S578" s="75"/>
      <c r="U578" s="41">
        <f t="shared" si="53"/>
        <v>5696</v>
      </c>
    </row>
    <row r="579" spans="1:21" ht="14.1" customHeight="1">
      <c r="A579" s="54">
        <f t="shared" ref="A579:A589" si="54">A578+1</f>
        <v>579</v>
      </c>
      <c r="B579" s="70" t="s">
        <v>527</v>
      </c>
      <c r="C579" s="70"/>
      <c r="D579" s="418" t="s">
        <v>528</v>
      </c>
      <c r="E579" s="418" t="s">
        <v>239</v>
      </c>
      <c r="F579" s="81" t="s">
        <v>589</v>
      </c>
      <c r="G579" s="81" t="s">
        <v>590</v>
      </c>
      <c r="H579" s="81" t="s">
        <v>177</v>
      </c>
      <c r="I579" s="81" t="s">
        <v>346</v>
      </c>
      <c r="J579" s="461">
        <v>27.34</v>
      </c>
      <c r="K579" s="371">
        <f t="shared" si="49"/>
        <v>200</v>
      </c>
      <c r="L579" s="72">
        <v>200</v>
      </c>
      <c r="M579" s="72"/>
      <c r="N579" s="73" t="e">
        <f t="shared" si="50"/>
        <v>#DIV/0!</v>
      </c>
      <c r="O579" s="73">
        <f t="shared" si="51"/>
        <v>0</v>
      </c>
      <c r="P579" s="74">
        <f>IF(L579="nio",0,IF(L579&gt;0,VLOOKUP(H579,'3-Productie normen'!A:J,VLOOKUP(L579,'3-Productie normen'!$B$33:$C$38,2,FALSE),FALSE)))/VLOOKUP(B579,'2-Kosten per locatie'!$A$12:$C$23,3,FALSE)</f>
        <v>0</v>
      </c>
      <c r="Q579" s="74">
        <f t="shared" si="52"/>
        <v>0</v>
      </c>
      <c r="R579" s="75" t="str">
        <f>VLOOKUP(H579,'3-Productie normen'!A:L,12,FALSE)</f>
        <v>V</v>
      </c>
      <c r="S579" s="75"/>
      <c r="U579" s="41">
        <f t="shared" si="53"/>
        <v>5468</v>
      </c>
    </row>
    <row r="580" spans="1:21" ht="14.1" customHeight="1">
      <c r="A580" s="54">
        <f t="shared" si="54"/>
        <v>580</v>
      </c>
      <c r="B580" s="70" t="s">
        <v>527</v>
      </c>
      <c r="C580" s="70"/>
      <c r="D580" s="418" t="s">
        <v>528</v>
      </c>
      <c r="E580" s="418" t="s">
        <v>239</v>
      </c>
      <c r="F580" s="81" t="s">
        <v>591</v>
      </c>
      <c r="G580" s="81" t="s">
        <v>592</v>
      </c>
      <c r="H580" s="81" t="s">
        <v>232</v>
      </c>
      <c r="I580" s="81" t="s">
        <v>346</v>
      </c>
      <c r="J580" s="461">
        <v>210</v>
      </c>
      <c r="K580" s="371">
        <f t="shared" si="49"/>
        <v>200</v>
      </c>
      <c r="L580" s="72">
        <v>200</v>
      </c>
      <c r="M580" s="72"/>
      <c r="N580" s="73" t="e">
        <f t="shared" si="50"/>
        <v>#DIV/0!</v>
      </c>
      <c r="O580" s="73">
        <f t="shared" si="51"/>
        <v>0</v>
      </c>
      <c r="P580" s="74">
        <f>IF(L580="nio",0,IF(L580&gt;0,VLOOKUP(H580,'3-Productie normen'!A:J,VLOOKUP(L580,'3-Productie normen'!$B$33:$C$38,2,FALSE),FALSE)))/VLOOKUP(B580,'2-Kosten per locatie'!$A$12:$C$23,3,FALSE)</f>
        <v>0</v>
      </c>
      <c r="Q580" s="74">
        <f t="shared" si="52"/>
        <v>0</v>
      </c>
      <c r="R580" s="75" t="str">
        <f>VLOOKUP(H580,'3-Productie normen'!A:L,12,FALSE)</f>
        <v>V</v>
      </c>
      <c r="S580" s="75"/>
      <c r="U580" s="41">
        <f t="shared" si="53"/>
        <v>42000</v>
      </c>
    </row>
    <row r="581" spans="1:21" ht="14.1" customHeight="1">
      <c r="A581" s="54">
        <f t="shared" si="54"/>
        <v>581</v>
      </c>
      <c r="B581" s="70" t="s">
        <v>527</v>
      </c>
      <c r="C581" s="70"/>
      <c r="D581" s="418" t="s">
        <v>528</v>
      </c>
      <c r="E581" s="418" t="s">
        <v>239</v>
      </c>
      <c r="F581" s="83" t="s">
        <v>593</v>
      </c>
      <c r="G581" s="83" t="s">
        <v>90</v>
      </c>
      <c r="H581" s="83" t="s">
        <v>90</v>
      </c>
      <c r="I581" s="81" t="s">
        <v>207</v>
      </c>
      <c r="J581" s="461">
        <v>7.64</v>
      </c>
      <c r="K581" s="371">
        <f t="shared" si="49"/>
        <v>200</v>
      </c>
      <c r="L581" s="72">
        <v>200</v>
      </c>
      <c r="M581" s="72"/>
      <c r="N581" s="73" t="e">
        <f t="shared" si="50"/>
        <v>#DIV/0!</v>
      </c>
      <c r="O581" s="73">
        <f t="shared" si="51"/>
        <v>0</v>
      </c>
      <c r="P581" s="74">
        <f>IF(L581="nio",0,IF(L581&gt;0,VLOOKUP(H581,'3-Productie normen'!A:J,VLOOKUP(L581,'3-Productie normen'!$B$33:$C$38,2,FALSE),FALSE)))/VLOOKUP(B581,'2-Kosten per locatie'!$A$12:$C$23,3,FALSE)</f>
        <v>0</v>
      </c>
      <c r="Q581" s="74">
        <f t="shared" si="52"/>
        <v>0</v>
      </c>
      <c r="R581" s="75" t="str">
        <f>VLOOKUP(H581,'3-Productie normen'!A:L,12,FALSE)</f>
        <v>V</v>
      </c>
      <c r="S581" s="75"/>
      <c r="U581" s="41">
        <f t="shared" si="53"/>
        <v>1528</v>
      </c>
    </row>
    <row r="582" spans="1:21" ht="14.1" customHeight="1">
      <c r="A582" s="54">
        <f t="shared" si="54"/>
        <v>582</v>
      </c>
      <c r="B582" s="70" t="s">
        <v>527</v>
      </c>
      <c r="C582" s="70"/>
      <c r="D582" s="418" t="s">
        <v>528</v>
      </c>
      <c r="E582" s="418" t="s">
        <v>239</v>
      </c>
      <c r="F582" s="81" t="s">
        <v>594</v>
      </c>
      <c r="G582" s="81" t="s">
        <v>265</v>
      </c>
      <c r="H582" s="81" t="s">
        <v>232</v>
      </c>
      <c r="I582" s="81" t="s">
        <v>91</v>
      </c>
      <c r="J582" s="461">
        <v>3.5</v>
      </c>
      <c r="K582" s="371">
        <f t="shared" si="49"/>
        <v>200</v>
      </c>
      <c r="L582" s="72">
        <v>200</v>
      </c>
      <c r="M582" s="72"/>
      <c r="N582" s="73" t="e">
        <f t="shared" si="50"/>
        <v>#DIV/0!</v>
      </c>
      <c r="O582" s="73">
        <f t="shared" si="51"/>
        <v>0</v>
      </c>
      <c r="P582" s="74">
        <f>IF(L582="nio",0,IF(L582&gt;0,VLOOKUP(H582,'3-Productie normen'!A:J,VLOOKUP(L582,'3-Productie normen'!$B$33:$C$38,2,FALSE),FALSE)))/VLOOKUP(B582,'2-Kosten per locatie'!$A$12:$C$23,3,FALSE)</f>
        <v>0</v>
      </c>
      <c r="Q582" s="74">
        <f t="shared" si="52"/>
        <v>0</v>
      </c>
      <c r="R582" s="75" t="str">
        <f>VLOOKUP(H582,'3-Productie normen'!A:L,12,FALSE)</f>
        <v>V</v>
      </c>
      <c r="S582" s="75"/>
      <c r="U582" s="41">
        <f t="shared" si="53"/>
        <v>700</v>
      </c>
    </row>
    <row r="583" spans="1:21" ht="14.1" customHeight="1">
      <c r="A583" s="54">
        <f t="shared" si="54"/>
        <v>583</v>
      </c>
      <c r="B583" s="70" t="s">
        <v>527</v>
      </c>
      <c r="C583" s="70"/>
      <c r="D583" s="418" t="s">
        <v>528</v>
      </c>
      <c r="E583" s="418" t="s">
        <v>241</v>
      </c>
      <c r="F583" s="81" t="s">
        <v>461</v>
      </c>
      <c r="G583" s="81" t="s">
        <v>541</v>
      </c>
      <c r="H583" s="40" t="s">
        <v>233</v>
      </c>
      <c r="I583" s="81" t="s">
        <v>91</v>
      </c>
      <c r="J583" s="461">
        <v>56.65</v>
      </c>
      <c r="K583" s="371">
        <f t="shared" si="49"/>
        <v>200</v>
      </c>
      <c r="L583" s="72">
        <v>200</v>
      </c>
      <c r="M583" s="72"/>
      <c r="N583" s="73" t="e">
        <f t="shared" si="50"/>
        <v>#DIV/0!</v>
      </c>
      <c r="O583" s="73">
        <f t="shared" si="51"/>
        <v>0</v>
      </c>
      <c r="P583" s="74">
        <f>IF(L583="nio",0,IF(L583&gt;0,VLOOKUP(H583,'3-Productie normen'!A:J,VLOOKUP(L583,'3-Productie normen'!$B$33:$C$38,2,FALSE),FALSE)))/VLOOKUP(B583,'2-Kosten per locatie'!$A$12:$C$23,3,FALSE)</f>
        <v>0</v>
      </c>
      <c r="Q583" s="74">
        <f t="shared" si="52"/>
        <v>0</v>
      </c>
      <c r="R583" s="75" t="str">
        <f>VLOOKUP(H583,'3-Productie normen'!A:L,12,FALSE)</f>
        <v>L</v>
      </c>
      <c r="S583" s="75"/>
      <c r="U583" s="41">
        <f t="shared" si="53"/>
        <v>11330</v>
      </c>
    </row>
    <row r="584" spans="1:21" ht="14.1" customHeight="1">
      <c r="A584" s="54">
        <f t="shared" si="54"/>
        <v>584</v>
      </c>
      <c r="B584" s="70" t="s">
        <v>527</v>
      </c>
      <c r="C584" s="70"/>
      <c r="D584" s="418" t="s">
        <v>528</v>
      </c>
      <c r="E584" s="418" t="s">
        <v>241</v>
      </c>
      <c r="F584" s="81" t="s">
        <v>462</v>
      </c>
      <c r="G584" s="81" t="s">
        <v>506</v>
      </c>
      <c r="H584" s="81" t="s">
        <v>232</v>
      </c>
      <c r="I584" s="81" t="s">
        <v>346</v>
      </c>
      <c r="J584" s="461">
        <v>10</v>
      </c>
      <c r="K584" s="371">
        <f t="shared" si="49"/>
        <v>200</v>
      </c>
      <c r="L584" s="72">
        <v>200</v>
      </c>
      <c r="M584" s="72"/>
      <c r="N584" s="73" t="e">
        <f t="shared" si="50"/>
        <v>#DIV/0!</v>
      </c>
      <c r="O584" s="73">
        <f t="shared" si="51"/>
        <v>0</v>
      </c>
      <c r="P584" s="74">
        <f>IF(L584="nio",0,IF(L584&gt;0,VLOOKUP(H584,'3-Productie normen'!A:J,VLOOKUP(L584,'3-Productie normen'!$B$33:$C$38,2,FALSE),FALSE)))/VLOOKUP(B584,'2-Kosten per locatie'!$A$12:$C$23,3,FALSE)</f>
        <v>0</v>
      </c>
      <c r="Q584" s="74">
        <f t="shared" si="52"/>
        <v>0</v>
      </c>
      <c r="R584" s="75" t="str">
        <f>VLOOKUP(H584,'3-Productie normen'!A:L,12,FALSE)</f>
        <v>V</v>
      </c>
      <c r="S584" s="75"/>
      <c r="U584" s="41">
        <f t="shared" si="53"/>
        <v>2000</v>
      </c>
    </row>
    <row r="585" spans="1:21" ht="14.1" customHeight="1">
      <c r="A585" s="54">
        <f t="shared" si="54"/>
        <v>585</v>
      </c>
      <c r="B585" s="70" t="s">
        <v>527</v>
      </c>
      <c r="C585" s="70"/>
      <c r="D585" s="418" t="s">
        <v>528</v>
      </c>
      <c r="E585" s="418" t="s">
        <v>241</v>
      </c>
      <c r="F585" s="81" t="s">
        <v>463</v>
      </c>
      <c r="G585" s="81" t="s">
        <v>257</v>
      </c>
      <c r="H585" s="81" t="s">
        <v>17</v>
      </c>
      <c r="I585" s="81" t="s">
        <v>536</v>
      </c>
      <c r="J585" s="461">
        <v>2.2400000000000002</v>
      </c>
      <c r="K585" s="371">
        <f t="shared" si="49"/>
        <v>200</v>
      </c>
      <c r="L585" s="72">
        <v>200</v>
      </c>
      <c r="M585" s="72"/>
      <c r="N585" s="73" t="e">
        <f t="shared" si="50"/>
        <v>#DIV/0!</v>
      </c>
      <c r="O585" s="73">
        <f t="shared" si="51"/>
        <v>0</v>
      </c>
      <c r="P585" s="74">
        <f>IF(L585="nio",0,IF(L585&gt;0,VLOOKUP(H585,'3-Productie normen'!A:J,VLOOKUP(L585,'3-Productie normen'!$B$33:$C$38,2,FALSE),FALSE)))/VLOOKUP(B585,'2-Kosten per locatie'!$A$12:$C$23,3,FALSE)</f>
        <v>0</v>
      </c>
      <c r="Q585" s="74">
        <f t="shared" si="52"/>
        <v>0</v>
      </c>
      <c r="R585" s="75" t="str">
        <f>VLOOKUP(H585,'3-Productie normen'!A:L,12,FALSE)</f>
        <v>S</v>
      </c>
      <c r="S585" s="75"/>
      <c r="U585" s="41">
        <f t="shared" si="53"/>
        <v>448.00000000000006</v>
      </c>
    </row>
    <row r="586" spans="1:21" ht="14.1" customHeight="1">
      <c r="A586" s="54">
        <f t="shared" si="54"/>
        <v>586</v>
      </c>
      <c r="B586" s="70" t="s">
        <v>527</v>
      </c>
      <c r="C586" s="70"/>
      <c r="D586" s="418" t="s">
        <v>528</v>
      </c>
      <c r="E586" s="418" t="s">
        <v>241</v>
      </c>
      <c r="F586" s="81" t="s">
        <v>464</v>
      </c>
      <c r="G586" s="81" t="s">
        <v>541</v>
      </c>
      <c r="H586" s="40" t="s">
        <v>233</v>
      </c>
      <c r="I586" s="81" t="s">
        <v>91</v>
      </c>
      <c r="J586" s="461">
        <v>53.89</v>
      </c>
      <c r="K586" s="371">
        <f t="shared" ref="K586:K589" si="55">SUM(L586:M586)</f>
        <v>200</v>
      </c>
      <c r="L586" s="72">
        <v>200</v>
      </c>
      <c r="M586" s="72"/>
      <c r="N586" s="73" t="e">
        <f t="shared" ref="N586:N589" si="56">IF(L586="nio",0,IF(L586&gt;0,L586*J586/P586,0))</f>
        <v>#DIV/0!</v>
      </c>
      <c r="O586" s="73">
        <f t="shared" ref="O586:O589" si="57">IF(M586&gt;0,M586*J586/Q586,0)</f>
        <v>0</v>
      </c>
      <c r="P586" s="74">
        <f>IF(L586="nio",0,IF(L586&gt;0,VLOOKUP(H586,'3-Productie normen'!A:J,VLOOKUP(L586,'3-Productie normen'!$B$33:$C$38,2,FALSE),FALSE)))/VLOOKUP(B586,'2-Kosten per locatie'!$A$12:$C$23,3,FALSE)</f>
        <v>0</v>
      </c>
      <c r="Q586" s="74">
        <f t="shared" ref="Q586:Q589" si="58">IF(M586&gt;0,P586*$Q$8,0)</f>
        <v>0</v>
      </c>
      <c r="R586" s="75" t="str">
        <f>VLOOKUP(H586,'3-Productie normen'!A:L,12,FALSE)</f>
        <v>L</v>
      </c>
      <c r="S586" s="75"/>
      <c r="U586" s="41">
        <f t="shared" ref="U586:U589" si="59">K586*J586</f>
        <v>10778</v>
      </c>
    </row>
    <row r="587" spans="1:21" ht="14.1" customHeight="1">
      <c r="A587" s="54">
        <f t="shared" si="54"/>
        <v>587</v>
      </c>
      <c r="B587" s="70" t="s">
        <v>527</v>
      </c>
      <c r="C587" s="70"/>
      <c r="D587" s="418" t="s">
        <v>528</v>
      </c>
      <c r="E587" s="418" t="s">
        <v>241</v>
      </c>
      <c r="F587" s="81" t="s">
        <v>465</v>
      </c>
      <c r="G587" s="81" t="s">
        <v>595</v>
      </c>
      <c r="H587" s="81" t="s">
        <v>533</v>
      </c>
      <c r="I587" s="81" t="s">
        <v>533</v>
      </c>
      <c r="J587" s="461">
        <v>0</v>
      </c>
      <c r="K587" s="371">
        <f t="shared" si="55"/>
        <v>0</v>
      </c>
      <c r="L587" s="449" t="s">
        <v>348</v>
      </c>
      <c r="M587" s="72"/>
      <c r="N587" s="73">
        <f t="shared" si="56"/>
        <v>0</v>
      </c>
      <c r="O587" s="73">
        <f t="shared" si="57"/>
        <v>0</v>
      </c>
      <c r="P587" s="74">
        <f>IF(L587="nio",0,IF(L587&gt;0,VLOOKUP(H587,'3-Productie normen'!A:J,VLOOKUP(L587,'3-Productie normen'!$B$33:$C$38,2,FALSE),FALSE)))/VLOOKUP(B587,'2-Kosten per locatie'!$A$12:$C$23,3,FALSE)</f>
        <v>0</v>
      </c>
      <c r="Q587" s="74">
        <f t="shared" si="58"/>
        <v>0</v>
      </c>
      <c r="R587" s="75">
        <f>VLOOKUP(H587,'3-Productie normen'!A:L,12,FALSE)</f>
        <v>0</v>
      </c>
      <c r="S587" s="75"/>
      <c r="U587" s="41">
        <f t="shared" si="59"/>
        <v>0</v>
      </c>
    </row>
    <row r="588" spans="1:21" ht="14.1" customHeight="1">
      <c r="A588" s="54">
        <f t="shared" si="54"/>
        <v>588</v>
      </c>
      <c r="B588" s="70" t="s">
        <v>527</v>
      </c>
      <c r="C588" s="70"/>
      <c r="D588" s="418" t="s">
        <v>528</v>
      </c>
      <c r="E588" s="418" t="s">
        <v>241</v>
      </c>
      <c r="F588" s="81" t="s">
        <v>466</v>
      </c>
      <c r="G588" s="81" t="s">
        <v>596</v>
      </c>
      <c r="H588" s="81" t="s">
        <v>533</v>
      </c>
      <c r="I588" s="81" t="s">
        <v>533</v>
      </c>
      <c r="J588" s="461">
        <v>0</v>
      </c>
      <c r="K588" s="371">
        <f t="shared" si="55"/>
        <v>0</v>
      </c>
      <c r="L588" s="449" t="s">
        <v>348</v>
      </c>
      <c r="M588" s="72"/>
      <c r="N588" s="73">
        <f t="shared" si="56"/>
        <v>0</v>
      </c>
      <c r="O588" s="73">
        <f t="shared" si="57"/>
        <v>0</v>
      </c>
      <c r="P588" s="74">
        <f>IF(L588="nio",0,IF(L588&gt;0,VLOOKUP(H588,'3-Productie normen'!A:J,VLOOKUP(L588,'3-Productie normen'!$B$33:$C$38,2,FALSE),FALSE)))/VLOOKUP(B588,'2-Kosten per locatie'!$A$12:$C$23,3,FALSE)</f>
        <v>0</v>
      </c>
      <c r="Q588" s="74">
        <f t="shared" si="58"/>
        <v>0</v>
      </c>
      <c r="R588" s="75">
        <f>VLOOKUP(H588,'3-Productie normen'!A:L,12,FALSE)</f>
        <v>0</v>
      </c>
      <c r="S588" s="75"/>
      <c r="U588" s="41">
        <f t="shared" si="59"/>
        <v>0</v>
      </c>
    </row>
    <row r="589" spans="1:21" ht="14.1" customHeight="1">
      <c r="A589" s="54">
        <f t="shared" si="54"/>
        <v>589</v>
      </c>
      <c r="B589" s="70" t="s">
        <v>527</v>
      </c>
      <c r="C589" s="70"/>
      <c r="D589" s="418" t="s">
        <v>528</v>
      </c>
      <c r="E589" s="418" t="s">
        <v>241</v>
      </c>
      <c r="F589" s="81" t="s">
        <v>468</v>
      </c>
      <c r="G589" s="81" t="s">
        <v>217</v>
      </c>
      <c r="H589" s="81" t="s">
        <v>232</v>
      </c>
      <c r="I589" s="81" t="s">
        <v>346</v>
      </c>
      <c r="J589" s="461">
        <v>4.16</v>
      </c>
      <c r="K589" s="371">
        <f t="shared" si="55"/>
        <v>200</v>
      </c>
      <c r="L589" s="72">
        <v>200</v>
      </c>
      <c r="M589" s="72"/>
      <c r="N589" s="73" t="e">
        <f t="shared" si="56"/>
        <v>#DIV/0!</v>
      </c>
      <c r="O589" s="73">
        <f t="shared" si="57"/>
        <v>0</v>
      </c>
      <c r="P589" s="74">
        <f>IF(L589="nio",0,IF(L589&gt;0,VLOOKUP(H589,'3-Productie normen'!A:J,VLOOKUP(L589,'3-Productie normen'!$B$33:$C$38,2,FALSE),FALSE)))/VLOOKUP(B589,'2-Kosten per locatie'!$A$12:$C$23,3,FALSE)</f>
        <v>0</v>
      </c>
      <c r="Q589" s="74">
        <f t="shared" si="58"/>
        <v>0</v>
      </c>
      <c r="R589" s="75" t="str">
        <f>VLOOKUP(H589,'3-Productie normen'!A:L,12,FALSE)</f>
        <v>V</v>
      </c>
      <c r="S589" s="75"/>
      <c r="U589" s="41">
        <f t="shared" si="59"/>
        <v>832</v>
      </c>
    </row>
  </sheetData>
  <autoFilter ref="B9:U589" xr:uid="{00000000-0009-0000-0000-000004000000}"/>
  <mergeCells count="1">
    <mergeCell ref="Q6:Q7"/>
  </mergeCells>
  <phoneticPr fontId="11"/>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5" manualBreakCount="5">
    <brk id="377" min="1" max="21" man="1"/>
    <brk id="427" min="1" max="21" man="1"/>
    <brk id="487" min="1" max="21" man="1"/>
    <brk id="536" min="1" max="21" man="1"/>
    <brk id="586"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1" sqref="B1"/>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83" t="s">
        <v>22</v>
      </c>
      <c r="B1" s="86"/>
      <c r="C1" s="2"/>
      <c r="D1" s="2"/>
      <c r="E1" s="2"/>
      <c r="F1" s="2"/>
      <c r="G1" s="2"/>
    </row>
    <row r="2" spans="1:8">
      <c r="A2" s="2"/>
      <c r="B2" s="2"/>
      <c r="C2" s="2"/>
      <c r="D2" s="2"/>
      <c r="E2" s="2"/>
      <c r="F2" s="2"/>
      <c r="G2" s="2"/>
    </row>
    <row r="3" spans="1:8" ht="15">
      <c r="A3" s="26" t="str">
        <f>'2-Kosten per locatie'!A3</f>
        <v>Naam opdrachtgever</v>
      </c>
      <c r="B3" s="52" t="str">
        <f>'2-Kosten per locatie'!B3</f>
        <v>Stichting Christelijk Onderwijs Haaglanden</v>
      </c>
      <c r="C3" s="2"/>
      <c r="D3" s="2"/>
      <c r="E3" s="332"/>
      <c r="F3" s="2"/>
      <c r="G3" s="2"/>
    </row>
    <row r="4" spans="1:8" ht="15">
      <c r="A4" s="26" t="str">
        <f>'2-Kosten per locatie'!A4</f>
        <v>Calculatie onderdeel</v>
      </c>
      <c r="B4" s="52" t="str">
        <f ca="1">MID(CELL("bestandsnaam",$C$9),SEARCH("]",CELL("bestandsnaam",$C$9),1)+1,256)</f>
        <v>5-Premies en opslagen</v>
      </c>
      <c r="C4" s="87"/>
      <c r="D4" s="88"/>
      <c r="E4" s="5"/>
      <c r="F4" s="5"/>
      <c r="G4" s="5"/>
    </row>
    <row r="5" spans="1:8" ht="15">
      <c r="A5" s="26" t="str">
        <f>'2-Kosten per locatie'!A5</f>
        <v>Gebouw/plaats</v>
      </c>
      <c r="B5" s="52" t="str">
        <f>'2-Kosten per locatie'!B5</f>
        <v>Den Haag</v>
      </c>
      <c r="C5" s="26"/>
      <c r="D5" s="10"/>
      <c r="E5" s="89"/>
      <c r="F5" s="6"/>
      <c r="G5" s="5"/>
    </row>
    <row r="6" spans="1:8" ht="15">
      <c r="A6" s="26" t="str">
        <f>'2-Kosten per locatie'!A6</f>
        <v>Referentie nummer</v>
      </c>
      <c r="B6" s="52" t="str">
        <f>'2-Kosten per locatie'!B6</f>
        <v>SCOH-EA-DK-RT-2023</v>
      </c>
      <c r="C6" s="56"/>
      <c r="D6" s="10"/>
      <c r="E6" s="338"/>
      <c r="F6" s="337"/>
      <c r="G6" s="339"/>
      <c r="H6" s="340"/>
    </row>
    <row r="7" spans="1:8" ht="15">
      <c r="A7" s="26" t="str">
        <f>'2-Kosten per locatie'!A7</f>
        <v>Naam dienstverlener</v>
      </c>
      <c r="B7" s="52">
        <f>'2-Kosten per locatie'!B7</f>
        <v>0</v>
      </c>
      <c r="C7" s="56"/>
      <c r="D7" s="10"/>
      <c r="E7" s="89"/>
      <c r="F7" s="6"/>
      <c r="G7" s="5"/>
    </row>
    <row r="8" spans="1:8" ht="15">
      <c r="A8" s="26" t="str">
        <f>'2-Kosten per locatie'!A8</f>
        <v>Prijspeil</v>
      </c>
      <c r="B8" s="406">
        <f>'2-Kosten per locatie'!B8</f>
        <v>45292</v>
      </c>
      <c r="C8" s="89"/>
      <c r="D8" s="89"/>
      <c r="E8" s="89"/>
      <c r="F8" s="6"/>
      <c r="G8" s="5"/>
    </row>
    <row r="9" spans="1:8" ht="15">
      <c r="A9" s="90"/>
      <c r="B9" s="89"/>
      <c r="C9" s="89"/>
      <c r="D9" s="89"/>
      <c r="E9" s="89"/>
      <c r="F9" s="6"/>
      <c r="G9" s="5"/>
    </row>
    <row r="10" spans="1:8" ht="17.399999999999999">
      <c r="A10" s="121" t="s">
        <v>4</v>
      </c>
      <c r="B10" s="122"/>
      <c r="C10" s="123"/>
      <c r="D10" s="89"/>
      <c r="E10" s="89"/>
      <c r="F10" s="6"/>
      <c r="G10" s="5"/>
    </row>
    <row r="11" spans="1:8">
      <c r="A11" s="91"/>
      <c r="B11" s="4"/>
      <c r="C11" s="4"/>
      <c r="D11" s="89"/>
      <c r="E11" s="89"/>
      <c r="F11" s="5"/>
      <c r="G11" s="5"/>
    </row>
    <row r="12" spans="1:8">
      <c r="A12" s="92"/>
      <c r="B12" s="78"/>
      <c r="C12" s="93" t="s">
        <v>35</v>
      </c>
      <c r="D12" s="89"/>
      <c r="E12" s="89"/>
      <c r="F12" s="6"/>
      <c r="G12" s="5"/>
    </row>
    <row r="13" spans="1:8">
      <c r="A13" s="94" t="s">
        <v>77</v>
      </c>
      <c r="B13" s="78"/>
      <c r="C13" s="284">
        <v>0</v>
      </c>
      <c r="D13" s="89"/>
      <c r="E13" s="89"/>
      <c r="F13" s="95"/>
      <c r="G13" s="5"/>
    </row>
    <row r="14" spans="1:8">
      <c r="A14" s="94" t="s">
        <v>171</v>
      </c>
      <c r="B14" s="78"/>
      <c r="C14" s="284">
        <v>0</v>
      </c>
      <c r="D14" s="89"/>
      <c r="E14" s="89"/>
      <c r="F14" s="95"/>
      <c r="G14" s="5"/>
    </row>
    <row r="15" spans="1:8">
      <c r="A15" s="94" t="s">
        <v>78</v>
      </c>
      <c r="B15" s="78"/>
      <c r="C15" s="284">
        <v>0</v>
      </c>
      <c r="D15" s="89"/>
      <c r="E15" s="89"/>
      <c r="F15" s="95"/>
      <c r="G15" s="5"/>
    </row>
    <row r="16" spans="1:8">
      <c r="A16" s="96" t="s">
        <v>9</v>
      </c>
      <c r="B16" s="97"/>
      <c r="C16" s="98">
        <f>SUM(C13:C15)</f>
        <v>0</v>
      </c>
      <c r="D16" s="89"/>
      <c r="E16" s="89"/>
      <c r="F16" s="5"/>
    </row>
    <row r="17" spans="1:7">
      <c r="A17" s="96"/>
      <c r="B17" s="97"/>
      <c r="C17" s="98"/>
      <c r="D17" s="89"/>
      <c r="E17" s="89"/>
      <c r="F17" s="5"/>
    </row>
    <row r="18" spans="1:7">
      <c r="A18" s="482" t="s">
        <v>79</v>
      </c>
      <c r="B18" s="483"/>
      <c r="C18" s="284">
        <v>0</v>
      </c>
      <c r="D18" s="89"/>
      <c r="E18" s="89"/>
      <c r="F18" s="5"/>
    </row>
    <row r="19" spans="1:7">
      <c r="A19" s="343" t="s">
        <v>188</v>
      </c>
      <c r="B19" s="341"/>
      <c r="C19" s="342">
        <v>0</v>
      </c>
      <c r="D19" s="89"/>
      <c r="E19" s="89"/>
      <c r="F19" s="5"/>
    </row>
    <row r="20" spans="1:7">
      <c r="A20" s="482" t="s">
        <v>80</v>
      </c>
      <c r="B20" s="483"/>
      <c r="C20" s="284">
        <v>0</v>
      </c>
      <c r="D20" s="89"/>
      <c r="E20" s="89"/>
      <c r="F20" s="5"/>
    </row>
    <row r="21" spans="1:7">
      <c r="A21" s="482" t="s">
        <v>31</v>
      </c>
      <c r="B21" s="483"/>
      <c r="C21" s="99" t="e">
        <f>C34</f>
        <v>#DIV/0!</v>
      </c>
      <c r="D21" s="89"/>
      <c r="E21" s="89"/>
      <c r="F21" s="5"/>
    </row>
    <row r="22" spans="1:7">
      <c r="A22" s="482" t="s">
        <v>64</v>
      </c>
      <c r="B22" s="483"/>
      <c r="C22" s="284">
        <v>0</v>
      </c>
      <c r="D22" s="89"/>
      <c r="E22" s="89"/>
      <c r="F22" s="5"/>
    </row>
    <row r="23" spans="1:7">
      <c r="A23" s="482" t="s">
        <v>184</v>
      </c>
      <c r="B23" s="483"/>
      <c r="C23" s="284">
        <v>0</v>
      </c>
      <c r="D23" s="89"/>
      <c r="E23" s="89"/>
      <c r="F23" s="5"/>
    </row>
    <row r="24" spans="1:7">
      <c r="A24" s="484" t="s">
        <v>63</v>
      </c>
      <c r="B24" s="485"/>
      <c r="C24" s="100" t="e">
        <f>SUM(C16:C23)</f>
        <v>#DIV/0!</v>
      </c>
      <c r="D24" s="89"/>
      <c r="E24" s="89"/>
      <c r="F24" s="5"/>
    </row>
    <row r="25" spans="1:7">
      <c r="A25" s="101"/>
      <c r="B25" s="88"/>
      <c r="C25" s="8"/>
      <c r="D25" s="89"/>
      <c r="E25" s="89"/>
      <c r="F25" s="9"/>
      <c r="G25" s="5"/>
    </row>
    <row r="26" spans="1:7" ht="17.399999999999999">
      <c r="A26" s="121" t="s">
        <v>57</v>
      </c>
      <c r="B26" s="122"/>
      <c r="C26" s="123"/>
      <c r="D26" s="89"/>
      <c r="E26" s="89"/>
      <c r="F26" s="6"/>
      <c r="G26" s="5"/>
    </row>
    <row r="27" spans="1:7">
      <c r="A27" s="91"/>
      <c r="B27" s="4"/>
      <c r="C27" s="4"/>
      <c r="D27" s="89"/>
      <c r="E27" s="89"/>
      <c r="F27" s="5"/>
      <c r="G27" s="5"/>
    </row>
    <row r="28" spans="1:7">
      <c r="A28" s="4"/>
      <c r="B28" s="4"/>
      <c r="C28" s="102" t="s">
        <v>16</v>
      </c>
      <c r="D28" s="89"/>
      <c r="E28" s="89"/>
      <c r="F28" s="5"/>
      <c r="G28" s="5"/>
    </row>
    <row r="29" spans="1:7">
      <c r="A29" s="94" t="s">
        <v>20</v>
      </c>
      <c r="B29" s="78"/>
      <c r="C29" s="103">
        <f>'6-Opbouw uurtarief productie'!E21</f>
        <v>0</v>
      </c>
      <c r="D29" s="89"/>
      <c r="E29" s="89"/>
      <c r="G29" s="5"/>
    </row>
    <row r="30" spans="1:7">
      <c r="A30" s="94" t="s">
        <v>45</v>
      </c>
      <c r="B30" s="318" t="s">
        <v>174</v>
      </c>
      <c r="C30" s="285">
        <v>0</v>
      </c>
      <c r="D30" s="89"/>
      <c r="E30" s="89"/>
      <c r="F30" s="6"/>
      <c r="G30" s="5"/>
    </row>
    <row r="31" spans="1:7">
      <c r="A31" s="94" t="s">
        <v>40</v>
      </c>
      <c r="B31" s="78"/>
      <c r="C31" s="104">
        <f>C29+C30</f>
        <v>0</v>
      </c>
      <c r="D31" s="89"/>
      <c r="E31" s="89"/>
      <c r="F31" s="6"/>
      <c r="G31" s="5"/>
    </row>
    <row r="32" spans="1:7">
      <c r="A32" s="105" t="s">
        <v>0</v>
      </c>
      <c r="B32" s="106"/>
      <c r="C32" s="286">
        <v>0</v>
      </c>
      <c r="E32" s="107"/>
      <c r="F32" s="6"/>
      <c r="G32" s="5"/>
    </row>
    <row r="33" spans="1:7">
      <c r="A33" s="91"/>
      <c r="B33" s="108"/>
      <c r="C33" s="109"/>
      <c r="E33" s="4"/>
      <c r="F33" s="5"/>
      <c r="G33" s="5"/>
    </row>
    <row r="34" spans="1:7">
      <c r="A34" s="255" t="s">
        <v>41</v>
      </c>
      <c r="B34" s="200"/>
      <c r="C34" s="256" t="e">
        <f>(C31/C29)*C32</f>
        <v>#DIV/0!</v>
      </c>
      <c r="E34" s="110"/>
      <c r="F34" s="6"/>
      <c r="G34" s="111"/>
    </row>
    <row r="35" spans="1:7">
      <c r="A35" s="91"/>
      <c r="B35" s="4"/>
      <c r="C35" s="4"/>
      <c r="E35" s="110"/>
      <c r="F35" s="6"/>
      <c r="G35" s="5"/>
    </row>
    <row r="36" spans="1:7" ht="17.399999999999999">
      <c r="A36" s="124" t="s">
        <v>192</v>
      </c>
      <c r="B36" s="125"/>
      <c r="C36" s="126"/>
      <c r="E36" s="110"/>
      <c r="F36" s="6"/>
      <c r="G36" s="5"/>
    </row>
    <row r="37" spans="1:7">
      <c r="A37" s="101"/>
      <c r="B37" s="88"/>
      <c r="C37" s="8"/>
      <c r="E37" s="110"/>
      <c r="F37" s="6"/>
      <c r="G37" s="5"/>
    </row>
    <row r="38" spans="1:7">
      <c r="A38" s="101"/>
      <c r="B38" s="269" t="s">
        <v>68</v>
      </c>
      <c r="C38" s="8"/>
      <c r="E38" s="110"/>
      <c r="F38" s="6"/>
      <c r="G38" s="5"/>
    </row>
    <row r="39" spans="1:7">
      <c r="A39" s="112" t="s">
        <v>6</v>
      </c>
      <c r="B39" s="345">
        <v>365</v>
      </c>
      <c r="C39" s="8"/>
      <c r="E39" s="110"/>
      <c r="F39" s="6"/>
      <c r="G39" s="11"/>
    </row>
    <row r="40" spans="1:7">
      <c r="A40" s="112" t="s">
        <v>5</v>
      </c>
      <c r="B40" s="345">
        <v>104</v>
      </c>
      <c r="C40" s="8"/>
      <c r="E40" s="110"/>
      <c r="F40" s="6"/>
      <c r="G40" s="11"/>
    </row>
    <row r="41" spans="1:7">
      <c r="A41" s="257" t="s">
        <v>7</v>
      </c>
      <c r="B41" s="258">
        <f>B39-B40</f>
        <v>261</v>
      </c>
      <c r="C41" s="8"/>
      <c r="E41" s="110"/>
      <c r="F41" s="6"/>
      <c r="G41" s="7"/>
    </row>
    <row r="42" spans="1:7">
      <c r="A42" s="113"/>
      <c r="B42" s="37"/>
      <c r="C42" s="8"/>
      <c r="E42" s="110"/>
      <c r="F42" s="6"/>
      <c r="G42" s="7"/>
    </row>
    <row r="43" spans="1:7">
      <c r="A43" s="112" t="s">
        <v>27</v>
      </c>
      <c r="B43" s="287">
        <v>0</v>
      </c>
      <c r="C43" s="8"/>
      <c r="E43" s="110"/>
      <c r="F43" s="6"/>
      <c r="G43" s="7"/>
    </row>
    <row r="44" spans="1:7">
      <c r="A44" s="112" t="s">
        <v>19</v>
      </c>
      <c r="B44" s="287">
        <v>0</v>
      </c>
      <c r="C44" s="8"/>
      <c r="E44" s="110"/>
      <c r="F44" s="6"/>
      <c r="G44" s="7"/>
    </row>
    <row r="45" spans="1:7">
      <c r="A45" s="112" t="s">
        <v>37</v>
      </c>
      <c r="B45" s="287">
        <v>0</v>
      </c>
      <c r="C45" s="8"/>
      <c r="E45" s="110"/>
      <c r="F45" s="6"/>
      <c r="G45" s="7"/>
    </row>
    <row r="46" spans="1:7">
      <c r="A46" s="112" t="s">
        <v>43</v>
      </c>
      <c r="B46" s="287"/>
      <c r="C46" s="8"/>
      <c r="E46" s="110"/>
      <c r="F46" s="6"/>
      <c r="G46" s="7"/>
    </row>
    <row r="47" spans="1:7">
      <c r="A47" s="257" t="s">
        <v>24</v>
      </c>
      <c r="B47" s="258">
        <f>B41-SUM(B43:B46)</f>
        <v>261</v>
      </c>
      <c r="C47" s="8"/>
      <c r="E47" s="110"/>
      <c r="F47" s="6"/>
      <c r="G47" s="7"/>
    </row>
    <row r="48" spans="1:7">
      <c r="A48" s="114"/>
      <c r="B48" s="37"/>
      <c r="C48" s="8"/>
      <c r="E48" s="110"/>
      <c r="F48" s="6"/>
      <c r="G48" s="7"/>
    </row>
    <row r="49" spans="1:7">
      <c r="A49" s="115" t="s">
        <v>58</v>
      </c>
      <c r="B49" s="116">
        <f>IF(B43=0,0,B43/$B$47)</f>
        <v>0</v>
      </c>
      <c r="C49" s="8"/>
      <c r="E49" s="110"/>
      <c r="F49" s="6"/>
      <c r="G49" s="7"/>
    </row>
    <row r="50" spans="1:7">
      <c r="A50" s="115" t="s">
        <v>19</v>
      </c>
      <c r="B50" s="116">
        <f>IF(B44=0,0,B44/$B$47)</f>
        <v>0</v>
      </c>
      <c r="C50" s="8"/>
      <c r="E50" s="110"/>
      <c r="F50" s="6"/>
      <c r="G50" s="7"/>
    </row>
    <row r="51" spans="1:7">
      <c r="A51" s="112" t="s">
        <v>37</v>
      </c>
      <c r="B51" s="116">
        <f>IF(B45=0,0,B45/$B$47)</f>
        <v>0</v>
      </c>
      <c r="C51" s="8"/>
      <c r="E51" s="110"/>
      <c r="F51" s="6"/>
      <c r="G51" s="7"/>
    </row>
    <row r="52" spans="1:7">
      <c r="A52" s="115" t="s">
        <v>43</v>
      </c>
      <c r="B52" s="116">
        <f>IF(B46=0,0,B46/$B$47)</f>
        <v>0</v>
      </c>
      <c r="C52" s="8"/>
      <c r="E52" s="110"/>
      <c r="F52" s="6"/>
      <c r="G52" s="12"/>
    </row>
    <row r="53" spans="1:7">
      <c r="A53" s="257" t="s">
        <v>65</v>
      </c>
      <c r="B53" s="259">
        <f>SUM(B49:B52)</f>
        <v>0</v>
      </c>
      <c r="C53" s="8"/>
      <c r="E53" s="110"/>
      <c r="F53" s="6"/>
      <c r="G53" s="13"/>
    </row>
    <row r="54" spans="1:7">
      <c r="A54" s="14"/>
      <c r="B54" s="14"/>
      <c r="C54" s="14"/>
      <c r="E54" s="110"/>
      <c r="F54" s="6"/>
      <c r="G54" s="2"/>
    </row>
    <row r="55" spans="1:7" ht="31.2" customHeight="1">
      <c r="A55" s="479" t="s">
        <v>193</v>
      </c>
      <c r="B55" s="480"/>
      <c r="C55" s="481"/>
      <c r="E55" s="110"/>
      <c r="F55" s="6"/>
      <c r="G55" s="2"/>
    </row>
    <row r="58" spans="1:7" ht="13.8">
      <c r="A58" s="117"/>
      <c r="B58" s="1"/>
    </row>
    <row r="59" spans="1:7" ht="13.8">
      <c r="A59" s="117"/>
      <c r="B59" s="1"/>
    </row>
    <row r="60" spans="1:7" ht="13.8">
      <c r="A60" s="117"/>
      <c r="B60" s="1"/>
    </row>
    <row r="61" spans="1:7" ht="13.8">
      <c r="A61" s="117"/>
      <c r="B61" s="1"/>
    </row>
    <row r="62" spans="1:7" ht="13.8">
      <c r="A62" s="118"/>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19"/>
    </row>
    <row r="71" spans="1:3" ht="13.8">
      <c r="A71" s="1"/>
      <c r="B71" s="1"/>
    </row>
    <row r="72" spans="1:3" ht="13.8">
      <c r="B72" s="1"/>
    </row>
    <row r="73" spans="1:3" ht="13.8">
      <c r="A73" s="1"/>
      <c r="B73" s="1"/>
      <c r="C73" s="1"/>
    </row>
    <row r="74" spans="1:3" ht="13.8">
      <c r="A74" s="120"/>
      <c r="B74" s="1"/>
      <c r="C74" s="120"/>
    </row>
    <row r="75" spans="1:3" ht="13.8">
      <c r="A75" s="1"/>
      <c r="B75" s="1"/>
      <c r="C75" s="1"/>
    </row>
    <row r="76" spans="1:3" ht="13.8">
      <c r="A76" s="1"/>
      <c r="B76" s="1"/>
      <c r="C76" s="1"/>
    </row>
    <row r="77" spans="1:3" ht="13.8">
      <c r="A77" s="1"/>
      <c r="B77" s="1"/>
      <c r="C77" s="1"/>
    </row>
    <row r="78" spans="1:3" ht="13.8">
      <c r="A78" s="120"/>
      <c r="B78" s="1"/>
      <c r="C78" s="120"/>
    </row>
    <row r="79" spans="1:3" ht="13.8">
      <c r="A79" s="120"/>
      <c r="B79" s="1"/>
      <c r="C79" s="120"/>
    </row>
    <row r="80" spans="1:3" ht="13.8">
      <c r="A80" s="120"/>
      <c r="B80" s="1"/>
      <c r="C80" s="120"/>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1"/>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90" zoomScaleNormal="90" zoomScalePageLayoutView="50" workbookViewId="0">
      <pane ySplit="10" topLeftCell="A11" activePane="bottomLeft" state="frozen"/>
      <selection activeCell="B1" sqref="B1"/>
      <selection pane="bottomLeft" activeCell="E12" sqref="E12"/>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15" ht="12.75" customHeight="1">
      <c r="A1" s="283" t="s">
        <v>22</v>
      </c>
      <c r="B1" s="86"/>
      <c r="C1" s="2"/>
      <c r="D1" s="2"/>
      <c r="E1" s="2"/>
      <c r="F1" s="2"/>
      <c r="H1" s="489"/>
      <c r="I1" s="489"/>
      <c r="J1" s="489"/>
      <c r="K1" s="489"/>
      <c r="L1" s="489"/>
      <c r="M1" s="489"/>
      <c r="N1" s="489"/>
    </row>
    <row r="2" spans="1:15">
      <c r="A2" s="127"/>
      <c r="B2" s="128"/>
      <c r="C2" s="129"/>
      <c r="D2" s="128"/>
      <c r="E2" s="130"/>
      <c r="F2" s="131"/>
      <c r="H2" s="489"/>
      <c r="I2" s="489"/>
      <c r="J2" s="489"/>
      <c r="K2" s="489"/>
      <c r="L2" s="489"/>
      <c r="M2" s="489"/>
      <c r="N2" s="489"/>
    </row>
    <row r="3" spans="1:15" ht="14.25" customHeight="1">
      <c r="A3" s="184" t="str">
        <f>'2-Kosten per locatie'!A3</f>
        <v>Naam opdrachtgever</v>
      </c>
      <c r="B3" s="185" t="str">
        <f>'2-Kosten per locatie'!B3</f>
        <v>Stichting Christelijk Onderwijs Haaglanden</v>
      </c>
      <c r="C3" s="186"/>
      <c r="D3" s="128"/>
      <c r="E3" s="348"/>
      <c r="F3" s="133"/>
      <c r="H3" s="489"/>
      <c r="I3" s="489"/>
      <c r="J3" s="489"/>
      <c r="K3" s="489"/>
      <c r="L3" s="489"/>
      <c r="M3" s="489"/>
      <c r="N3" s="489"/>
    </row>
    <row r="4" spans="1:15" ht="15.75" customHeight="1">
      <c r="A4" s="184" t="str">
        <f>'2-Kosten per locatie'!A4</f>
        <v>Calculatie onderdeel</v>
      </c>
      <c r="B4" s="187" t="str">
        <f ca="1">MID(CELL("bestandsnaam",$C$9),SEARCH("]",CELL("bestandsnaam",$C$9),1)+1,256)</f>
        <v>6-Opbouw uurtarief productie</v>
      </c>
      <c r="C4" s="188"/>
      <c r="D4" s="136"/>
      <c r="H4" s="489"/>
      <c r="I4" s="489"/>
      <c r="J4" s="489"/>
      <c r="K4" s="489"/>
      <c r="L4" s="489"/>
      <c r="M4" s="489"/>
      <c r="N4" s="489"/>
    </row>
    <row r="5" spans="1:15" ht="15">
      <c r="A5" s="184" t="str">
        <f>'2-Kosten per locatie'!A5</f>
        <v>Gebouw/plaats</v>
      </c>
      <c r="B5" s="185" t="str">
        <f>'2-Kosten per locatie'!B5</f>
        <v>Den Haag</v>
      </c>
      <c r="C5" s="188"/>
      <c r="D5" s="136"/>
      <c r="H5" s="489"/>
      <c r="I5" s="489"/>
      <c r="J5" s="489"/>
      <c r="K5" s="489"/>
      <c r="L5" s="489"/>
      <c r="M5" s="489"/>
      <c r="N5" s="489"/>
    </row>
    <row r="6" spans="1:15" ht="15">
      <c r="A6" s="184" t="str">
        <f>'2-Kosten per locatie'!A6</f>
        <v>Referentie nummer</v>
      </c>
      <c r="B6" s="185" t="str">
        <f>'2-Kosten per locatie'!B6</f>
        <v>SCOH-EA-DK-RT-2023</v>
      </c>
      <c r="C6" s="188"/>
      <c r="D6" s="136"/>
      <c r="H6" s="137"/>
      <c r="I6" s="137"/>
      <c r="J6" s="137"/>
      <c r="K6" s="137"/>
      <c r="L6" s="137"/>
      <c r="M6" s="137"/>
      <c r="N6" s="137"/>
    </row>
    <row r="7" spans="1:15" ht="15">
      <c r="A7" s="184" t="str">
        <f>'2-Kosten per locatie'!A7</f>
        <v>Naam dienstverlener</v>
      </c>
      <c r="B7" s="185">
        <f>'2-Kosten per locatie'!B7</f>
        <v>0</v>
      </c>
      <c r="C7" s="188"/>
      <c r="D7" s="136"/>
      <c r="H7" s="137"/>
      <c r="I7" s="137"/>
      <c r="J7" s="137"/>
      <c r="K7" s="137"/>
      <c r="L7" s="137"/>
      <c r="M7" s="137"/>
      <c r="N7" s="137"/>
    </row>
    <row r="8" spans="1:15" ht="15">
      <c r="A8" s="184" t="str">
        <f>'2-Kosten per locatie'!A8</f>
        <v>Prijspeil</v>
      </c>
      <c r="B8" s="407">
        <f>'2-Kosten per locatie'!B8</f>
        <v>45292</v>
      </c>
      <c r="C8" s="188"/>
      <c r="D8" s="136"/>
      <c r="J8" s="137"/>
      <c r="K8" s="137"/>
      <c r="L8" s="137"/>
      <c r="M8" s="137"/>
      <c r="N8" s="137"/>
      <c r="O8" s="140"/>
    </row>
    <row r="9" spans="1:15" ht="15">
      <c r="A9" s="132"/>
      <c r="B9" s="134"/>
      <c r="C9" s="135"/>
      <c r="D9" s="136"/>
      <c r="E9" s="349"/>
      <c r="F9" s="138"/>
    </row>
    <row r="10" spans="1:15" s="140" customFormat="1" ht="30.75" customHeight="1">
      <c r="A10" s="189" t="s">
        <v>180</v>
      </c>
      <c r="B10" s="190"/>
      <c r="C10" s="191"/>
      <c r="D10" s="139"/>
      <c r="E10" s="487" t="s">
        <v>181</v>
      </c>
      <c r="F10" s="488"/>
      <c r="H10" s="192" t="s">
        <v>127</v>
      </c>
      <c r="I10" s="490" t="s">
        <v>611</v>
      </c>
      <c r="J10" s="490"/>
      <c r="K10" s="490"/>
      <c r="L10" s="490"/>
      <c r="M10" s="490"/>
      <c r="N10" s="490"/>
    </row>
    <row r="11" spans="1:15" ht="30" customHeight="1">
      <c r="A11" s="141"/>
      <c r="B11" s="142" t="s">
        <v>52</v>
      </c>
      <c r="C11" s="143" t="s">
        <v>52</v>
      </c>
      <c r="D11" s="136"/>
      <c r="E11" s="350"/>
      <c r="F11" s="144"/>
      <c r="H11" s="141"/>
      <c r="I11" s="145">
        <v>1</v>
      </c>
      <c r="J11" s="145">
        <v>2</v>
      </c>
      <c r="K11" s="145">
        <v>3</v>
      </c>
      <c r="L11" s="145">
        <v>4</v>
      </c>
      <c r="M11" s="145">
        <v>5</v>
      </c>
      <c r="N11" s="145">
        <v>6</v>
      </c>
    </row>
    <row r="12" spans="1:15">
      <c r="A12" s="141" t="s">
        <v>34</v>
      </c>
      <c r="B12" s="146"/>
      <c r="C12" s="147"/>
      <c r="D12" s="136"/>
      <c r="E12" s="351">
        <f>SUM(I43:N43)</f>
        <v>0</v>
      </c>
      <c r="F12" s="148"/>
      <c r="H12" s="141" t="s">
        <v>128</v>
      </c>
      <c r="I12" s="466"/>
      <c r="J12" s="466"/>
      <c r="K12" s="466"/>
      <c r="L12" s="466"/>
      <c r="M12" s="466"/>
      <c r="N12" s="466"/>
    </row>
    <row r="13" spans="1:15" ht="13.8">
      <c r="A13" s="141" t="s">
        <v>15</v>
      </c>
      <c r="B13" s="149"/>
      <c r="C13" s="150" t="s">
        <v>55</v>
      </c>
      <c r="D13" s="136"/>
      <c r="E13" s="352">
        <v>0</v>
      </c>
      <c r="F13" s="148"/>
      <c r="H13" s="141" t="s">
        <v>120</v>
      </c>
      <c r="I13" s="466"/>
      <c r="J13" s="466"/>
      <c r="K13" s="466"/>
      <c r="L13" s="466"/>
      <c r="M13" s="466"/>
      <c r="N13" s="466"/>
    </row>
    <row r="14" spans="1:15" ht="13.8">
      <c r="A14" s="413" t="s">
        <v>224</v>
      </c>
      <c r="B14" s="152"/>
      <c r="C14" s="153"/>
      <c r="D14" s="136"/>
      <c r="E14" s="352">
        <v>0</v>
      </c>
      <c r="F14" s="148"/>
      <c r="H14" s="141" t="s">
        <v>121</v>
      </c>
      <c r="I14" s="466"/>
      <c r="J14" s="466"/>
      <c r="K14" s="466"/>
      <c r="L14" s="466"/>
      <c r="M14" s="466"/>
      <c r="N14" s="466"/>
    </row>
    <row r="15" spans="1:15" ht="13.8">
      <c r="A15" s="260" t="s">
        <v>13</v>
      </c>
      <c r="B15" s="261"/>
      <c r="C15" s="262"/>
      <c r="D15" s="263"/>
      <c r="E15" s="353">
        <f>SUM(E12:E14)</f>
        <v>0</v>
      </c>
      <c r="F15" s="148"/>
      <c r="H15" s="141" t="s">
        <v>122</v>
      </c>
      <c r="I15" s="466"/>
      <c r="J15" s="466"/>
      <c r="K15" s="466"/>
      <c r="L15" s="466"/>
      <c r="M15" s="466"/>
      <c r="N15" s="466"/>
    </row>
    <row r="16" spans="1:15" ht="13.8">
      <c r="A16" s="151"/>
      <c r="B16" s="154"/>
      <c r="C16" s="155"/>
      <c r="D16" s="136"/>
      <c r="E16" s="354"/>
      <c r="F16" s="148"/>
      <c r="H16" s="141" t="s">
        <v>123</v>
      </c>
      <c r="I16" s="466"/>
      <c r="J16" s="466"/>
      <c r="K16" s="466"/>
      <c r="L16" s="466"/>
      <c r="M16" s="466"/>
      <c r="N16" s="466"/>
    </row>
    <row r="17" spans="1:15" ht="13.8">
      <c r="A17" s="156" t="s">
        <v>48</v>
      </c>
      <c r="B17" s="157"/>
      <c r="C17" s="288">
        <v>0</v>
      </c>
      <c r="D17" s="136"/>
      <c r="E17" s="355">
        <f>$C17*E15</f>
        <v>0</v>
      </c>
      <c r="F17" s="148"/>
      <c r="H17" s="141" t="s">
        <v>124</v>
      </c>
      <c r="I17" s="466"/>
      <c r="J17" s="466"/>
      <c r="K17" s="466"/>
      <c r="L17" s="466"/>
      <c r="M17" s="466"/>
      <c r="N17" s="466"/>
    </row>
    <row r="18" spans="1:15" ht="13.8">
      <c r="A18" s="156" t="s">
        <v>74</v>
      </c>
      <c r="B18" s="157"/>
      <c r="C18" s="288">
        <v>0</v>
      </c>
      <c r="D18" s="136"/>
      <c r="E18" s="356">
        <f>$C18*E15</f>
        <v>0</v>
      </c>
      <c r="F18" s="148"/>
      <c r="H18" s="141" t="s">
        <v>125</v>
      </c>
      <c r="I18" s="466"/>
      <c r="J18" s="466"/>
      <c r="K18" s="466"/>
      <c r="L18" s="466"/>
      <c r="M18" s="466"/>
      <c r="N18" s="466"/>
    </row>
    <row r="19" spans="1:15" ht="13.8">
      <c r="A19" s="260" t="s">
        <v>44</v>
      </c>
      <c r="B19" s="158"/>
      <c r="C19" s="153"/>
      <c r="D19" s="136"/>
      <c r="E19" s="353">
        <f>SUM(E15:E18)</f>
        <v>0</v>
      </c>
      <c r="F19" s="159">
        <f>IF(E19=0,0,E19/E$47)</f>
        <v>0</v>
      </c>
      <c r="H19" s="141" t="s">
        <v>126</v>
      </c>
      <c r="I19" s="466"/>
      <c r="J19" s="466"/>
      <c r="K19" s="466"/>
      <c r="L19" s="466"/>
      <c r="M19" s="466"/>
      <c r="N19" s="466"/>
    </row>
    <row r="20" spans="1:15" ht="13.8">
      <c r="A20" s="151"/>
      <c r="B20" s="154"/>
      <c r="C20" s="155"/>
      <c r="D20" s="136"/>
      <c r="E20" s="354"/>
      <c r="F20" s="148"/>
    </row>
    <row r="21" spans="1:15" ht="13.8">
      <c r="A21" s="267" t="s">
        <v>49</v>
      </c>
      <c r="B21" s="157"/>
      <c r="C21" s="155"/>
      <c r="D21" s="161"/>
      <c r="E21" s="357">
        <f>E19*0.96</f>
        <v>0</v>
      </c>
      <c r="F21" s="162"/>
      <c r="G21" s="76"/>
      <c r="H21" s="192" t="s">
        <v>127</v>
      </c>
      <c r="I21" s="491" t="s">
        <v>130</v>
      </c>
      <c r="J21" s="492"/>
      <c r="K21" s="492"/>
      <c r="L21" s="492"/>
      <c r="M21" s="492"/>
      <c r="N21" s="493"/>
    </row>
    <row r="22" spans="1:15" s="76" customFormat="1" ht="13.8">
      <c r="A22" s="156" t="s">
        <v>59</v>
      </c>
      <c r="B22" s="157"/>
      <c r="C22" s="163" t="s">
        <v>38</v>
      </c>
      <c r="D22" s="136"/>
      <c r="E22" s="355" t="e">
        <f>E21*'5-Premies en opslagen'!$C24</f>
        <v>#DIV/0!</v>
      </c>
      <c r="F22" s="148"/>
      <c r="G22" s="3"/>
      <c r="H22" s="141"/>
      <c r="I22" s="145">
        <v>1</v>
      </c>
      <c r="J22" s="145">
        <v>2</v>
      </c>
      <c r="K22" s="145">
        <v>3</v>
      </c>
      <c r="L22" s="145">
        <v>4</v>
      </c>
      <c r="M22" s="145">
        <v>5</v>
      </c>
      <c r="N22" s="145">
        <v>6</v>
      </c>
    </row>
    <row r="23" spans="1:15" ht="14.25" customHeight="1">
      <c r="A23" s="260" t="s">
        <v>56</v>
      </c>
      <c r="B23" s="193"/>
      <c r="C23" s="153"/>
      <c r="D23" s="136"/>
      <c r="E23" s="353" t="e">
        <f>E22+E19</f>
        <v>#DIV/0!</v>
      </c>
      <c r="F23" s="159" t="e">
        <f>IF(E23=0,0,E23/E$47)</f>
        <v>#DIV/0!</v>
      </c>
      <c r="H23" s="141" t="s">
        <v>128</v>
      </c>
      <c r="I23" s="290"/>
      <c r="J23" s="290"/>
      <c r="K23" s="290"/>
      <c r="L23" s="290"/>
      <c r="M23" s="290"/>
      <c r="N23" s="290"/>
    </row>
    <row r="24" spans="1:15" ht="12.75" customHeight="1">
      <c r="A24" s="151"/>
      <c r="B24" s="158"/>
      <c r="C24" s="153"/>
      <c r="D24" s="136"/>
      <c r="E24" s="350"/>
      <c r="F24" s="148"/>
      <c r="H24" s="141" t="s">
        <v>120</v>
      </c>
      <c r="I24" s="290"/>
      <c r="J24" s="290"/>
      <c r="K24" s="290"/>
      <c r="L24" s="290"/>
      <c r="M24" s="290"/>
      <c r="N24" s="290"/>
    </row>
    <row r="25" spans="1:15" ht="12.75" customHeight="1">
      <c r="A25" s="156" t="s">
        <v>30</v>
      </c>
      <c r="B25" s="157"/>
      <c r="C25" s="163" t="s">
        <v>38</v>
      </c>
      <c r="D25" s="136"/>
      <c r="E25" s="355" t="e">
        <f>E23*'5-Premies en opslagen'!$B53</f>
        <v>#DIV/0!</v>
      </c>
      <c r="F25" s="148"/>
      <c r="H25" s="141" t="s">
        <v>121</v>
      </c>
      <c r="I25" s="290"/>
      <c r="J25" s="290"/>
      <c r="K25" s="290"/>
      <c r="L25" s="290"/>
      <c r="M25" s="290"/>
      <c r="N25" s="290"/>
    </row>
    <row r="26" spans="1:15" ht="13.8">
      <c r="A26" s="260" t="s">
        <v>66</v>
      </c>
      <c r="B26" s="158"/>
      <c r="C26" s="153"/>
      <c r="D26" s="136"/>
      <c r="E26" s="353" t="e">
        <f>SUM(E23:E25)</f>
        <v>#DIV/0!</v>
      </c>
      <c r="F26" s="159" t="e">
        <f>IF(E26=0,0,E26/E$47)</f>
        <v>#DIV/0!</v>
      </c>
      <c r="H26" s="141" t="s">
        <v>122</v>
      </c>
      <c r="I26" s="290"/>
      <c r="J26" s="290"/>
      <c r="K26" s="290"/>
      <c r="L26" s="290"/>
      <c r="M26" s="290"/>
      <c r="N26" s="290"/>
    </row>
    <row r="27" spans="1:15" ht="13.8">
      <c r="A27" s="151"/>
      <c r="B27" s="158"/>
      <c r="C27" s="153"/>
      <c r="D27" s="136"/>
      <c r="E27" s="350"/>
      <c r="F27" s="148"/>
      <c r="H27" s="141" t="s">
        <v>123</v>
      </c>
      <c r="I27" s="290"/>
      <c r="J27" s="290"/>
      <c r="K27" s="290"/>
      <c r="L27" s="290"/>
      <c r="M27" s="290"/>
      <c r="N27" s="290"/>
    </row>
    <row r="28" spans="1:15" ht="13.8">
      <c r="A28" s="151" t="s">
        <v>50</v>
      </c>
      <c r="B28" s="164"/>
      <c r="C28" s="150" t="s">
        <v>55</v>
      </c>
      <c r="D28" s="136"/>
      <c r="E28" s="352">
        <v>0</v>
      </c>
      <c r="F28" s="148">
        <v>0</v>
      </c>
      <c r="H28" s="141" t="s">
        <v>124</v>
      </c>
      <c r="I28" s="290"/>
      <c r="J28" s="290"/>
      <c r="K28" s="290"/>
      <c r="L28" s="290"/>
      <c r="M28" s="290"/>
      <c r="N28" s="290"/>
    </row>
    <row r="29" spans="1:15" ht="13.8">
      <c r="A29" s="151" t="s">
        <v>53</v>
      </c>
      <c r="B29" s="165"/>
      <c r="C29" s="150" t="s">
        <v>55</v>
      </c>
      <c r="D29" s="136"/>
      <c r="E29" s="352">
        <v>0</v>
      </c>
      <c r="F29" s="148">
        <v>0</v>
      </c>
      <c r="H29" s="141" t="s">
        <v>125</v>
      </c>
      <c r="I29" s="290"/>
      <c r="J29" s="290"/>
      <c r="K29" s="290"/>
      <c r="L29" s="290"/>
      <c r="M29" s="290"/>
      <c r="N29" s="290"/>
    </row>
    <row r="30" spans="1:15" ht="13.8">
      <c r="A30" s="151" t="s">
        <v>54</v>
      </c>
      <c r="B30" s="158"/>
      <c r="C30" s="153" t="s">
        <v>52</v>
      </c>
      <c r="D30" s="136"/>
      <c r="E30" s="352">
        <v>0</v>
      </c>
      <c r="F30" s="148"/>
      <c r="H30" s="141" t="s">
        <v>126</v>
      </c>
      <c r="I30" s="290"/>
      <c r="J30" s="290"/>
      <c r="K30" s="290"/>
      <c r="L30" s="290"/>
      <c r="M30" s="290"/>
      <c r="N30" s="290"/>
    </row>
    <row r="31" spans="1:15" ht="12.75" customHeight="1">
      <c r="A31" s="289"/>
      <c r="B31" s="334"/>
      <c r="C31" s="335" t="s">
        <v>52</v>
      </c>
      <c r="D31" s="136"/>
      <c r="E31" s="352"/>
      <c r="F31" s="148"/>
      <c r="H31" s="167" t="s">
        <v>129</v>
      </c>
      <c r="I31" s="312">
        <f t="shared" ref="I31:N31" si="0">SUM(I23:I30)</f>
        <v>0</v>
      </c>
      <c r="J31" s="312">
        <f t="shared" si="0"/>
        <v>0</v>
      </c>
      <c r="K31" s="312">
        <f t="shared" si="0"/>
        <v>0</v>
      </c>
      <c r="L31" s="312">
        <f t="shared" si="0"/>
        <v>0</v>
      </c>
      <c r="M31" s="312">
        <f t="shared" si="0"/>
        <v>0</v>
      </c>
      <c r="N31" s="312">
        <f t="shared" si="0"/>
        <v>0</v>
      </c>
      <c r="O31" s="194">
        <f>SUM(I31:N31)</f>
        <v>0</v>
      </c>
    </row>
    <row r="32" spans="1:15" ht="12.75" customHeight="1">
      <c r="A32" s="260" t="s">
        <v>46</v>
      </c>
      <c r="B32" s="158"/>
      <c r="C32" s="153"/>
      <c r="D32" s="136"/>
      <c r="E32" s="353" t="e">
        <f>SUM(E26:E31)</f>
        <v>#DIV/0!</v>
      </c>
      <c r="F32" s="159" t="e">
        <f>IF(E32=0,0,E32/E$47)</f>
        <v>#DIV/0!</v>
      </c>
      <c r="H32" s="76"/>
      <c r="I32" s="76"/>
      <c r="J32" s="76"/>
      <c r="K32" s="76"/>
      <c r="L32" s="76"/>
      <c r="M32" s="76"/>
      <c r="N32" s="76"/>
    </row>
    <row r="33" spans="1:15" ht="12.75" customHeight="1">
      <c r="A33" s="151"/>
      <c r="B33" s="158"/>
      <c r="C33" s="153"/>
      <c r="D33" s="136"/>
      <c r="E33" s="350"/>
      <c r="F33" s="148"/>
      <c r="H33" s="319" t="s">
        <v>127</v>
      </c>
      <c r="I33" s="486" t="s">
        <v>131</v>
      </c>
      <c r="J33" s="486"/>
      <c r="K33" s="486"/>
      <c r="L33" s="486"/>
      <c r="M33" s="486"/>
      <c r="N33" s="486"/>
    </row>
    <row r="34" spans="1:15" ht="12.75" customHeight="1">
      <c r="A34" s="151" t="s">
        <v>67</v>
      </c>
      <c r="B34" s="158"/>
      <c r="C34" s="166"/>
      <c r="D34" s="136"/>
      <c r="E34" s="352">
        <v>0</v>
      </c>
      <c r="F34" s="344" t="e">
        <f t="shared" ref="F34:F42" si="1">E34/$E$47</f>
        <v>#DIV/0!</v>
      </c>
      <c r="H34" s="320"/>
      <c r="I34" s="321">
        <v>1</v>
      </c>
      <c r="J34" s="321">
        <v>2</v>
      </c>
      <c r="K34" s="321">
        <v>3</v>
      </c>
      <c r="L34" s="321">
        <v>4</v>
      </c>
      <c r="M34" s="321">
        <v>5</v>
      </c>
      <c r="N34" s="321">
        <v>6</v>
      </c>
    </row>
    <row r="35" spans="1:15" ht="12.75" customHeight="1">
      <c r="A35" s="151" t="s">
        <v>29</v>
      </c>
      <c r="B35" s="158"/>
      <c r="C35" s="166"/>
      <c r="D35" s="136"/>
      <c r="E35" s="352">
        <v>0</v>
      </c>
      <c r="F35" s="344" t="e">
        <f t="shared" si="1"/>
        <v>#DIV/0!</v>
      </c>
      <c r="H35" s="320" t="s">
        <v>128</v>
      </c>
      <c r="I35" s="322">
        <f t="shared" ref="I35:N35" si="2">I23*I12</f>
        <v>0</v>
      </c>
      <c r="J35" s="322">
        <f t="shared" si="2"/>
        <v>0</v>
      </c>
      <c r="K35" s="322">
        <f t="shared" si="2"/>
        <v>0</v>
      </c>
      <c r="L35" s="322">
        <f t="shared" si="2"/>
        <v>0</v>
      </c>
      <c r="M35" s="322">
        <f t="shared" si="2"/>
        <v>0</v>
      </c>
      <c r="N35" s="323">
        <f t="shared" si="2"/>
        <v>0</v>
      </c>
    </row>
    <row r="36" spans="1:15" ht="14.25" customHeight="1">
      <c r="A36" s="151" t="s">
        <v>21</v>
      </c>
      <c r="B36" s="158"/>
      <c r="C36" s="166"/>
      <c r="D36" s="136"/>
      <c r="E36" s="352">
        <v>0</v>
      </c>
      <c r="F36" s="344" t="e">
        <f t="shared" si="1"/>
        <v>#DIV/0!</v>
      </c>
      <c r="H36" s="320" t="s">
        <v>120</v>
      </c>
      <c r="I36" s="322">
        <f t="shared" ref="I36:N36" si="3">I24*I13</f>
        <v>0</v>
      </c>
      <c r="J36" s="322">
        <f t="shared" si="3"/>
        <v>0</v>
      </c>
      <c r="K36" s="322">
        <f t="shared" si="3"/>
        <v>0</v>
      </c>
      <c r="L36" s="322">
        <f t="shared" si="3"/>
        <v>0</v>
      </c>
      <c r="M36" s="322">
        <f t="shared" si="3"/>
        <v>0</v>
      </c>
      <c r="N36" s="323">
        <f t="shared" si="3"/>
        <v>0</v>
      </c>
    </row>
    <row r="37" spans="1:15" ht="13.8">
      <c r="A37" s="151" t="s">
        <v>3</v>
      </c>
      <c r="B37" s="158"/>
      <c r="C37" s="168"/>
      <c r="D37" s="136"/>
      <c r="E37" s="352">
        <v>0</v>
      </c>
      <c r="F37" s="344" t="e">
        <f t="shared" si="1"/>
        <v>#DIV/0!</v>
      </c>
      <c r="H37" s="320" t="s">
        <v>121</v>
      </c>
      <c r="I37" s="322">
        <f t="shared" ref="I37:N37" si="4">I25*I14</f>
        <v>0</v>
      </c>
      <c r="J37" s="322">
        <f t="shared" si="4"/>
        <v>0</v>
      </c>
      <c r="K37" s="322">
        <f t="shared" si="4"/>
        <v>0</v>
      </c>
      <c r="L37" s="322">
        <f t="shared" si="4"/>
        <v>0</v>
      </c>
      <c r="M37" s="322">
        <f t="shared" si="4"/>
        <v>0</v>
      </c>
      <c r="N37" s="323">
        <f t="shared" si="4"/>
        <v>0</v>
      </c>
      <c r="O37" s="76"/>
    </row>
    <row r="38" spans="1:15" ht="13.8">
      <c r="A38" s="151" t="s">
        <v>28</v>
      </c>
      <c r="B38" s="158"/>
      <c r="C38" s="166"/>
      <c r="D38" s="136"/>
      <c r="E38" s="352">
        <v>0</v>
      </c>
      <c r="F38" s="344" t="e">
        <f t="shared" si="1"/>
        <v>#DIV/0!</v>
      </c>
      <c r="H38" s="320" t="s">
        <v>122</v>
      </c>
      <c r="I38" s="322">
        <f t="shared" ref="I38:N38" si="5">I26*I15</f>
        <v>0</v>
      </c>
      <c r="J38" s="322">
        <f t="shared" si="5"/>
        <v>0</v>
      </c>
      <c r="K38" s="322">
        <f t="shared" si="5"/>
        <v>0</v>
      </c>
      <c r="L38" s="322">
        <f t="shared" si="5"/>
        <v>0</v>
      </c>
      <c r="M38" s="322">
        <f t="shared" si="5"/>
        <v>0</v>
      </c>
      <c r="N38" s="323">
        <f t="shared" si="5"/>
        <v>0</v>
      </c>
      <c r="O38" s="76"/>
    </row>
    <row r="39" spans="1:15" ht="13.8">
      <c r="A39" s="151" t="s">
        <v>25</v>
      </c>
      <c r="B39" s="158"/>
      <c r="C39" s="168"/>
      <c r="D39" s="136"/>
      <c r="E39" s="352">
        <v>0</v>
      </c>
      <c r="F39" s="344" t="e">
        <f t="shared" si="1"/>
        <v>#DIV/0!</v>
      </c>
      <c r="H39" s="320" t="s">
        <v>123</v>
      </c>
      <c r="I39" s="322">
        <f t="shared" ref="I39:N39" si="6">I27*I16</f>
        <v>0</v>
      </c>
      <c r="J39" s="322">
        <f t="shared" si="6"/>
        <v>0</v>
      </c>
      <c r="K39" s="322">
        <f t="shared" si="6"/>
        <v>0</v>
      </c>
      <c r="L39" s="322">
        <f t="shared" si="6"/>
        <v>0</v>
      </c>
      <c r="M39" s="322">
        <f t="shared" si="6"/>
        <v>0</v>
      </c>
      <c r="N39" s="323">
        <f t="shared" si="6"/>
        <v>0</v>
      </c>
      <c r="O39" s="76"/>
    </row>
    <row r="40" spans="1:15" ht="13.8">
      <c r="A40" s="151" t="s">
        <v>60</v>
      </c>
      <c r="B40" s="158"/>
      <c r="C40" s="150" t="s">
        <v>55</v>
      </c>
      <c r="D40" s="136"/>
      <c r="E40" s="352">
        <v>0</v>
      </c>
      <c r="F40" s="344" t="e">
        <f t="shared" si="1"/>
        <v>#DIV/0!</v>
      </c>
      <c r="H40" s="320" t="s">
        <v>124</v>
      </c>
      <c r="I40" s="322">
        <f t="shared" ref="I40:N40" si="7">I28*I17</f>
        <v>0</v>
      </c>
      <c r="J40" s="322">
        <f t="shared" si="7"/>
        <v>0</v>
      </c>
      <c r="K40" s="322">
        <f t="shared" si="7"/>
        <v>0</v>
      </c>
      <c r="L40" s="322">
        <f t="shared" si="7"/>
        <v>0</v>
      </c>
      <c r="M40" s="322">
        <f t="shared" si="7"/>
        <v>0</v>
      </c>
      <c r="N40" s="323">
        <f t="shared" si="7"/>
        <v>0</v>
      </c>
      <c r="O40" s="76"/>
    </row>
    <row r="41" spans="1:15" ht="13.8">
      <c r="A41" s="151" t="s">
        <v>73</v>
      </c>
      <c r="B41" s="158"/>
      <c r="C41" s="150"/>
      <c r="D41" s="136"/>
      <c r="E41" s="352">
        <v>0</v>
      </c>
      <c r="F41" s="344" t="e">
        <f t="shared" si="1"/>
        <v>#DIV/0!</v>
      </c>
      <c r="H41" s="320" t="s">
        <v>125</v>
      </c>
      <c r="I41" s="322">
        <f t="shared" ref="I41:N41" si="8">I29*I18</f>
        <v>0</v>
      </c>
      <c r="J41" s="322">
        <f t="shared" si="8"/>
        <v>0</v>
      </c>
      <c r="K41" s="322">
        <f t="shared" si="8"/>
        <v>0</v>
      </c>
      <c r="L41" s="322">
        <f t="shared" si="8"/>
        <v>0</v>
      </c>
      <c r="M41" s="322">
        <f t="shared" si="8"/>
        <v>0</v>
      </c>
      <c r="N41" s="323">
        <f t="shared" si="8"/>
        <v>0</v>
      </c>
      <c r="O41" s="76"/>
    </row>
    <row r="42" spans="1:15" ht="13.8">
      <c r="A42" s="289"/>
      <c r="B42" s="334"/>
      <c r="C42" s="336"/>
      <c r="D42" s="136"/>
      <c r="E42" s="352">
        <v>0</v>
      </c>
      <c r="F42" s="148" t="e">
        <f t="shared" si="1"/>
        <v>#DIV/0!</v>
      </c>
      <c r="H42" s="320" t="s">
        <v>126</v>
      </c>
      <c r="I42" s="322">
        <f t="shared" ref="I42:N42" si="9">I30*I19</f>
        <v>0</v>
      </c>
      <c r="J42" s="322">
        <f t="shared" si="9"/>
        <v>0</v>
      </c>
      <c r="K42" s="322">
        <f t="shared" si="9"/>
        <v>0</v>
      </c>
      <c r="L42" s="322">
        <f t="shared" si="9"/>
        <v>0</v>
      </c>
      <c r="M42" s="322">
        <f t="shared" si="9"/>
        <v>0</v>
      </c>
      <c r="N42" s="323">
        <f t="shared" si="9"/>
        <v>0</v>
      </c>
      <c r="O42" s="76"/>
    </row>
    <row r="43" spans="1:15" ht="13.8">
      <c r="A43" s="260" t="s">
        <v>61</v>
      </c>
      <c r="B43" s="158"/>
      <c r="C43" s="153"/>
      <c r="D43" s="136"/>
      <c r="E43" s="353" t="e">
        <f>SUM(E32:E42)</f>
        <v>#DIV/0!</v>
      </c>
      <c r="F43" s="159" t="e">
        <f>IF(E43=0,0,E43/E$47)</f>
        <v>#DIV/0!</v>
      </c>
      <c r="H43" s="324" t="s">
        <v>129</v>
      </c>
      <c r="I43" s="325">
        <f t="shared" ref="I43:N43" si="10">SUM(I35:I42)</f>
        <v>0</v>
      </c>
      <c r="J43" s="325">
        <f t="shared" si="10"/>
        <v>0</v>
      </c>
      <c r="K43" s="325">
        <f t="shared" si="10"/>
        <v>0</v>
      </c>
      <c r="L43" s="325">
        <f t="shared" si="10"/>
        <v>0</v>
      </c>
      <c r="M43" s="325">
        <f t="shared" si="10"/>
        <v>0</v>
      </c>
      <c r="N43" s="325">
        <f t="shared" si="10"/>
        <v>0</v>
      </c>
      <c r="O43" s="76"/>
    </row>
    <row r="44" spans="1:15" ht="13.8">
      <c r="A44" s="151"/>
      <c r="B44" s="158"/>
      <c r="C44" s="153"/>
      <c r="D44" s="136"/>
      <c r="E44" s="350"/>
      <c r="F44" s="169"/>
      <c r="H44" s="76"/>
      <c r="I44" s="76"/>
      <c r="J44" s="76"/>
      <c r="K44" s="76"/>
      <c r="L44" s="76"/>
      <c r="M44" s="76"/>
      <c r="N44" s="76"/>
      <c r="O44" s="76"/>
    </row>
    <row r="45" spans="1:15" ht="13.8">
      <c r="A45" s="151" t="s">
        <v>62</v>
      </c>
      <c r="B45" s="158"/>
      <c r="C45" s="168"/>
      <c r="D45" s="136"/>
      <c r="E45" s="352">
        <v>0</v>
      </c>
      <c r="F45" s="159">
        <f>(IF(E45=0,0,E45/E$47))</f>
        <v>0</v>
      </c>
      <c r="H45" s="76"/>
      <c r="I45" s="76"/>
      <c r="J45" s="76"/>
      <c r="K45" s="76"/>
      <c r="L45" s="76"/>
      <c r="M45" s="76"/>
      <c r="N45" s="76"/>
      <c r="O45" s="76"/>
    </row>
    <row r="46" spans="1:15" ht="30" customHeight="1">
      <c r="A46" s="151"/>
      <c r="B46" s="152"/>
      <c r="C46" s="153"/>
      <c r="D46" s="136"/>
      <c r="E46" s="350"/>
      <c r="F46" s="148"/>
      <c r="H46" s="189" t="s">
        <v>219</v>
      </c>
      <c r="I46" s="190"/>
      <c r="J46" s="191"/>
      <c r="K46" s="380" t="s">
        <v>181</v>
      </c>
      <c r="L46" s="76"/>
      <c r="M46" s="76"/>
      <c r="N46" s="76"/>
    </row>
    <row r="47" spans="1:15" ht="13.8">
      <c r="A47" s="260" t="s">
        <v>39</v>
      </c>
      <c r="B47" s="265"/>
      <c r="C47" s="170"/>
      <c r="D47" s="136"/>
      <c r="E47" s="264" t="e">
        <f>SUM(E43:E46)</f>
        <v>#DIV/0!</v>
      </c>
      <c r="F47" s="266" t="e">
        <f>SUM(F43:F46)</f>
        <v>#DIV/0!</v>
      </c>
      <c r="H47" s="141"/>
      <c r="I47" s="142" t="s">
        <v>52</v>
      </c>
      <c r="J47" s="143" t="s">
        <v>52</v>
      </c>
      <c r="K47" s="350"/>
      <c r="L47" s="76"/>
      <c r="M47" s="76"/>
      <c r="N47" s="76"/>
    </row>
    <row r="48" spans="1:15" ht="13.8">
      <c r="B48" s="171"/>
      <c r="C48" s="172"/>
      <c r="D48" s="136"/>
      <c r="F48" s="173"/>
      <c r="H48" s="377" t="s">
        <v>13</v>
      </c>
      <c r="I48" s="378"/>
      <c r="J48" s="379"/>
      <c r="K48" s="353">
        <f>E15</f>
        <v>0</v>
      </c>
      <c r="L48" s="76"/>
      <c r="M48" s="76"/>
      <c r="N48" s="76"/>
    </row>
    <row r="49" spans="1:14" ht="13.8">
      <c r="A49" s="175" t="s">
        <v>186</v>
      </c>
      <c r="B49" s="176"/>
      <c r="C49" s="177"/>
      <c r="D49" s="76"/>
      <c r="E49" s="358" t="e">
        <f>(E$26*1.3)+($E$47-$E$26)</f>
        <v>#DIV/0!</v>
      </c>
      <c r="F49" s="178"/>
      <c r="G49" s="76"/>
      <c r="H49" s="376" t="s">
        <v>48</v>
      </c>
      <c r="I49" s="374"/>
      <c r="J49" s="375"/>
      <c r="K49" s="355">
        <f>E17</f>
        <v>0</v>
      </c>
      <c r="L49" s="76"/>
      <c r="M49" s="76"/>
      <c r="N49" s="76"/>
    </row>
    <row r="50" spans="1:14" s="76" customFormat="1" ht="13.8">
      <c r="B50" s="179"/>
      <c r="C50" s="180"/>
      <c r="H50" s="156" t="s">
        <v>74</v>
      </c>
      <c r="I50" s="374"/>
      <c r="J50" s="375"/>
      <c r="K50" s="356">
        <f>E18</f>
        <v>0</v>
      </c>
    </row>
    <row r="51" spans="1:14" s="76" customFormat="1" ht="13.8">
      <c r="A51" s="175" t="s">
        <v>42</v>
      </c>
      <c r="B51" s="176"/>
      <c r="C51" s="177"/>
      <c r="E51" s="358" t="e">
        <f>(E$26*1.5)+($E$47-$E$26)</f>
        <v>#DIV/0!</v>
      </c>
      <c r="F51" s="178"/>
      <c r="H51" s="156" t="s">
        <v>59</v>
      </c>
      <c r="I51" s="374"/>
      <c r="J51" s="375"/>
      <c r="K51" s="355" t="e">
        <f>E22</f>
        <v>#DIV/0!</v>
      </c>
    </row>
    <row r="52" spans="1:14" s="76" customFormat="1" ht="13.8">
      <c r="B52" s="179"/>
      <c r="C52" s="180"/>
      <c r="H52" s="156" t="s">
        <v>30</v>
      </c>
      <c r="I52" s="157"/>
      <c r="J52" s="163"/>
      <c r="K52" s="355" t="e">
        <f>E25</f>
        <v>#DIV/0!</v>
      </c>
    </row>
    <row r="53" spans="1:14" s="76" customFormat="1" ht="13.8">
      <c r="A53" s="175" t="s">
        <v>71</v>
      </c>
      <c r="B53" s="176"/>
      <c r="C53" s="177"/>
      <c r="E53" s="358" t="e">
        <f>(E$26*2.5)+($E$47-$E$26)</f>
        <v>#DIV/0!</v>
      </c>
      <c r="H53" s="151" t="s">
        <v>50</v>
      </c>
      <c r="I53" s="164"/>
      <c r="J53" s="150"/>
      <c r="K53" s="351">
        <f>E28</f>
        <v>0</v>
      </c>
    </row>
    <row r="54" spans="1:14" s="76" customFormat="1" ht="13.8">
      <c r="B54" s="179"/>
      <c r="C54" s="181"/>
      <c r="F54" s="182"/>
      <c r="H54" s="151" t="s">
        <v>53</v>
      </c>
      <c r="I54" s="165"/>
      <c r="J54" s="150"/>
      <c r="K54" s="351">
        <f t="shared" ref="K54:K55" si="11">E29</f>
        <v>0</v>
      </c>
      <c r="M54" s="3"/>
    </row>
    <row r="55" spans="1:14" s="76" customFormat="1" ht="13.8">
      <c r="B55" s="179"/>
      <c r="C55" s="181"/>
      <c r="F55" s="182"/>
      <c r="H55" s="151" t="s">
        <v>54</v>
      </c>
      <c r="I55" s="158"/>
      <c r="J55" s="153" t="s">
        <v>52</v>
      </c>
      <c r="K55" s="351">
        <f t="shared" si="11"/>
        <v>0</v>
      </c>
      <c r="M55" s="3"/>
    </row>
    <row r="56" spans="1:14" s="76" customFormat="1" ht="13.8">
      <c r="C56" s="183"/>
      <c r="F56" s="182"/>
      <c r="H56" s="151" t="s">
        <v>67</v>
      </c>
      <c r="I56" s="158"/>
      <c r="J56" s="166"/>
      <c r="K56" s="351">
        <f>E34</f>
        <v>0</v>
      </c>
      <c r="M56" s="3"/>
    </row>
    <row r="57" spans="1:14" s="76" customFormat="1" ht="13.8">
      <c r="C57" s="183"/>
      <c r="F57" s="182"/>
      <c r="H57" s="151" t="s">
        <v>29</v>
      </c>
      <c r="I57" s="158"/>
      <c r="J57" s="166"/>
      <c r="K57" s="351">
        <f t="shared" ref="K57:K63" si="12">E35</f>
        <v>0</v>
      </c>
      <c r="M57" s="3"/>
    </row>
    <row r="58" spans="1:14" s="76" customFormat="1" ht="13.8">
      <c r="A58" s="3"/>
      <c r="C58" s="183"/>
      <c r="F58" s="182"/>
      <c r="H58" s="151" t="s">
        <v>21</v>
      </c>
      <c r="I58" s="158"/>
      <c r="J58" s="166"/>
      <c r="K58" s="351">
        <f t="shared" si="12"/>
        <v>0</v>
      </c>
      <c r="M58" s="3"/>
    </row>
    <row r="59" spans="1:14" s="76" customFormat="1" ht="13.8">
      <c r="C59" s="183"/>
      <c r="F59" s="182"/>
      <c r="H59" s="151" t="s">
        <v>3</v>
      </c>
      <c r="I59" s="158"/>
      <c r="J59" s="168"/>
      <c r="K59" s="351">
        <f t="shared" si="12"/>
        <v>0</v>
      </c>
      <c r="M59" s="3"/>
    </row>
    <row r="60" spans="1:14" s="76" customFormat="1" ht="13.8">
      <c r="C60" s="183"/>
      <c r="F60" s="182"/>
      <c r="H60" s="151" t="s">
        <v>28</v>
      </c>
      <c r="I60" s="158"/>
      <c r="J60" s="166"/>
      <c r="K60" s="351">
        <f t="shared" si="12"/>
        <v>0</v>
      </c>
      <c r="M60" s="3"/>
    </row>
    <row r="61" spans="1:14" s="76" customFormat="1" ht="13.8">
      <c r="C61" s="183"/>
      <c r="F61" s="182"/>
      <c r="H61" s="151" t="s">
        <v>25</v>
      </c>
      <c r="I61" s="158"/>
      <c r="J61" s="168"/>
      <c r="K61" s="351">
        <f t="shared" si="12"/>
        <v>0</v>
      </c>
      <c r="M61" s="3"/>
      <c r="N61" s="3"/>
    </row>
    <row r="62" spans="1:14" s="76" customFormat="1" ht="13.8">
      <c r="C62" s="183"/>
      <c r="F62" s="182"/>
      <c r="H62" s="151" t="s">
        <v>60</v>
      </c>
      <c r="I62" s="158"/>
      <c r="J62" s="150"/>
      <c r="K62" s="351">
        <f t="shared" si="12"/>
        <v>0</v>
      </c>
      <c r="M62" s="3"/>
      <c r="N62" s="3"/>
    </row>
    <row r="63" spans="1:14" s="76" customFormat="1" ht="13.8">
      <c r="C63" s="183"/>
      <c r="F63" s="182"/>
      <c r="H63" s="151" t="s">
        <v>73</v>
      </c>
      <c r="I63" s="158"/>
      <c r="J63" s="150"/>
      <c r="K63" s="351">
        <f t="shared" si="12"/>
        <v>0</v>
      </c>
      <c r="M63" s="3"/>
      <c r="N63" s="3"/>
    </row>
    <row r="64" spans="1:14" s="76" customFormat="1" ht="13.8">
      <c r="C64" s="183"/>
      <c r="F64" s="182"/>
      <c r="H64" s="151" t="s">
        <v>62</v>
      </c>
      <c r="I64" s="158"/>
      <c r="J64" s="168"/>
      <c r="K64" s="351">
        <f>E45</f>
        <v>0</v>
      </c>
      <c r="M64" s="3"/>
      <c r="N64" s="3"/>
    </row>
    <row r="65" spans="1:14" s="76" customFormat="1" ht="13.8">
      <c r="C65" s="183"/>
      <c r="E65" s="3"/>
      <c r="F65" s="182"/>
      <c r="H65" s="151"/>
      <c r="I65" s="152"/>
      <c r="J65" s="153"/>
      <c r="K65" s="350"/>
      <c r="M65" s="3"/>
      <c r="N65" s="3"/>
    </row>
    <row r="66" spans="1:14" s="76" customFormat="1" ht="13.8">
      <c r="A66" s="3"/>
      <c r="B66" s="3"/>
      <c r="C66" s="3"/>
      <c r="D66" s="3"/>
      <c r="E66" s="3"/>
      <c r="F66" s="3"/>
      <c r="G66" s="3"/>
      <c r="H66" s="260" t="s">
        <v>39</v>
      </c>
      <c r="I66" s="265"/>
      <c r="J66" s="170"/>
      <c r="K66" s="264" t="e">
        <f>SUM(K48:K65)</f>
        <v>#DIV/0!</v>
      </c>
      <c r="M66" s="3"/>
      <c r="N66" s="3"/>
    </row>
    <row r="67" spans="1:14" ht="13.8">
      <c r="I67" s="171"/>
      <c r="J67" s="172"/>
      <c r="L67" s="76"/>
    </row>
    <row r="68" spans="1:14" ht="13.8">
      <c r="H68" s="175" t="s">
        <v>186</v>
      </c>
      <c r="I68" s="176"/>
      <c r="J68" s="177"/>
      <c r="K68" s="358" t="e">
        <f>E49</f>
        <v>#DIV/0!</v>
      </c>
      <c r="L68" s="76"/>
    </row>
    <row r="69" spans="1:14" ht="13.8">
      <c r="H69" s="76"/>
      <c r="I69" s="179"/>
      <c r="J69" s="180"/>
      <c r="K69" s="76"/>
      <c r="L69" s="76"/>
    </row>
    <row r="70" spans="1:14" ht="13.8">
      <c r="H70" s="175" t="s">
        <v>42</v>
      </c>
      <c r="I70" s="176"/>
      <c r="J70" s="177"/>
      <c r="K70" s="358" t="e">
        <f>E51</f>
        <v>#DIV/0!</v>
      </c>
      <c r="L70" s="76"/>
    </row>
    <row r="71" spans="1:14" ht="13.8">
      <c r="H71" s="76"/>
      <c r="I71" s="179"/>
      <c r="J71" s="180"/>
      <c r="K71" s="76"/>
      <c r="L71" s="76"/>
    </row>
    <row r="72" spans="1:14" ht="13.8">
      <c r="H72" s="175" t="s">
        <v>71</v>
      </c>
      <c r="I72" s="176"/>
      <c r="J72" s="177"/>
      <c r="K72" s="358" t="e">
        <f>E53</f>
        <v>#DIV/0!</v>
      </c>
      <c r="L72" s="76"/>
    </row>
    <row r="73" spans="1:14">
      <c r="L73" s="76"/>
    </row>
    <row r="74" spans="1:14">
      <c r="L74" s="76"/>
    </row>
    <row r="75" spans="1:14">
      <c r="L75" s="76"/>
    </row>
  </sheetData>
  <dataConsolidate/>
  <mergeCells count="7">
    <mergeCell ref="I33:N33"/>
    <mergeCell ref="E10:F10"/>
    <mergeCell ref="H1:N2"/>
    <mergeCell ref="H3:N3"/>
    <mergeCell ref="H4:N5"/>
    <mergeCell ref="I10:N10"/>
    <mergeCell ref="I21:N21"/>
  </mergeCells>
  <phoneticPr fontId="11"/>
  <conditionalFormatting sqref="O31">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B1" sqref="B1"/>
      <selection pane="bottomLeft" activeCell="E12" sqref="E12"/>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15" ht="12.75" customHeight="1">
      <c r="A1" s="283" t="s">
        <v>22</v>
      </c>
      <c r="B1" s="86"/>
      <c r="C1" s="2"/>
      <c r="D1" s="2"/>
      <c r="E1" s="2"/>
      <c r="F1" s="2"/>
      <c r="H1" s="489"/>
      <c r="I1" s="489"/>
      <c r="J1" s="489"/>
      <c r="K1" s="489"/>
      <c r="L1" s="489"/>
      <c r="M1" s="489"/>
      <c r="N1" s="489"/>
    </row>
    <row r="2" spans="1:15">
      <c r="A2" s="127"/>
      <c r="B2" s="128"/>
      <c r="C2" s="129"/>
      <c r="D2" s="128"/>
      <c r="E2" s="130"/>
      <c r="F2" s="131"/>
      <c r="H2" s="489"/>
      <c r="I2" s="489"/>
      <c r="J2" s="489"/>
      <c r="K2" s="489"/>
      <c r="L2" s="489"/>
      <c r="M2" s="489"/>
      <c r="N2" s="489"/>
    </row>
    <row r="3" spans="1:15" ht="14.25" customHeight="1">
      <c r="A3" s="184" t="str">
        <f>'2-Kosten per locatie'!A3</f>
        <v>Naam opdrachtgever</v>
      </c>
      <c r="B3" s="185" t="str">
        <f>'2-Kosten per locatie'!B3</f>
        <v>Stichting Christelijk Onderwijs Haaglanden</v>
      </c>
      <c r="C3" s="186"/>
      <c r="D3" s="128"/>
      <c r="E3" s="348"/>
      <c r="F3" s="133"/>
      <c r="H3" s="489"/>
      <c r="I3" s="489"/>
      <c r="J3" s="489"/>
      <c r="K3" s="489"/>
      <c r="L3" s="489"/>
      <c r="M3" s="489"/>
      <c r="N3" s="489"/>
    </row>
    <row r="4" spans="1:15" ht="15.75" customHeight="1">
      <c r="A4" s="184" t="str">
        <f>'2-Kosten per locatie'!A4</f>
        <v>Calculatie onderdeel</v>
      </c>
      <c r="B4" s="187" t="str">
        <f ca="1">MID(CELL("bestandsnaam",$C$9),SEARCH("]",CELL("bestandsnaam",$C$9),1)+1,256)</f>
        <v>7-Opbouw uurtarief toezicht</v>
      </c>
      <c r="C4" s="188"/>
      <c r="D4" s="136"/>
      <c r="H4" s="489"/>
      <c r="I4" s="489"/>
      <c r="J4" s="489"/>
      <c r="K4" s="489"/>
      <c r="L4" s="489"/>
      <c r="M4" s="489"/>
      <c r="N4" s="489"/>
    </row>
    <row r="5" spans="1:15" ht="15">
      <c r="A5" s="184" t="str">
        <f>'2-Kosten per locatie'!A5</f>
        <v>Gebouw/plaats</v>
      </c>
      <c r="B5" s="185" t="str">
        <f>'2-Kosten per locatie'!B5</f>
        <v>Den Haag</v>
      </c>
      <c r="C5" s="188"/>
      <c r="D5" s="136"/>
      <c r="H5" s="489"/>
      <c r="I5" s="489"/>
      <c r="J5" s="489"/>
      <c r="K5" s="489"/>
      <c r="L5" s="489"/>
      <c r="M5" s="489"/>
      <c r="N5" s="489"/>
    </row>
    <row r="6" spans="1:15" ht="15">
      <c r="A6" s="184" t="str">
        <f>'2-Kosten per locatie'!A6</f>
        <v>Referentie nummer</v>
      </c>
      <c r="B6" s="185" t="str">
        <f>'2-Kosten per locatie'!B6</f>
        <v>SCOH-EA-DK-RT-2023</v>
      </c>
      <c r="C6" s="188"/>
      <c r="D6" s="136"/>
      <c r="H6" s="137"/>
      <c r="I6" s="137"/>
      <c r="J6" s="137"/>
      <c r="K6" s="137"/>
      <c r="L6" s="137"/>
      <c r="M6" s="137"/>
      <c r="N6" s="137"/>
    </row>
    <row r="7" spans="1:15" ht="15">
      <c r="A7" s="184" t="str">
        <f>'2-Kosten per locatie'!A7</f>
        <v>Naam dienstverlener</v>
      </c>
      <c r="B7" s="185">
        <f>'2-Kosten per locatie'!B7</f>
        <v>0</v>
      </c>
      <c r="C7" s="188"/>
      <c r="D7" s="136"/>
      <c r="H7" s="137"/>
      <c r="I7" s="137"/>
      <c r="J7" s="137"/>
      <c r="K7" s="137"/>
      <c r="L7" s="137"/>
      <c r="M7" s="137"/>
      <c r="N7" s="137"/>
      <c r="O7" s="140"/>
    </row>
    <row r="8" spans="1:15" ht="15">
      <c r="A8" s="184" t="str">
        <f>'2-Kosten per locatie'!A8</f>
        <v>Prijspeil</v>
      </c>
      <c r="B8" s="407">
        <f>'2-Kosten per locatie'!B8</f>
        <v>45292</v>
      </c>
      <c r="C8" s="188"/>
      <c r="D8" s="136"/>
      <c r="L8" s="137"/>
      <c r="M8" s="137"/>
      <c r="N8" s="137"/>
    </row>
    <row r="9" spans="1:15" ht="15">
      <c r="A9" s="132"/>
      <c r="B9" s="134"/>
      <c r="C9" s="135"/>
      <c r="D9" s="136"/>
      <c r="E9" s="349"/>
      <c r="F9" s="138"/>
    </row>
    <row r="10" spans="1:15" s="140" customFormat="1" ht="30.75" customHeight="1">
      <c r="A10" s="189" t="s">
        <v>179</v>
      </c>
      <c r="B10" s="190"/>
      <c r="C10" s="191"/>
      <c r="D10" s="139"/>
      <c r="E10" s="487" t="s">
        <v>178</v>
      </c>
      <c r="F10" s="494"/>
      <c r="H10" s="192" t="s">
        <v>127</v>
      </c>
      <c r="I10" s="490" t="s">
        <v>611</v>
      </c>
      <c r="J10" s="490"/>
      <c r="K10" s="490"/>
      <c r="L10" s="490"/>
      <c r="M10" s="490"/>
      <c r="N10" s="490"/>
    </row>
    <row r="11" spans="1:15" ht="30" customHeight="1">
      <c r="A11" s="141"/>
      <c r="B11" s="142" t="s">
        <v>52</v>
      </c>
      <c r="C11" s="143" t="s">
        <v>52</v>
      </c>
      <c r="D11" s="136"/>
      <c r="E11" s="350"/>
      <c r="F11" s="144"/>
      <c r="H11" s="141"/>
      <c r="I11" s="467">
        <v>1</v>
      </c>
      <c r="J11" s="467">
        <v>2</v>
      </c>
      <c r="K11" s="467">
        <v>3</v>
      </c>
      <c r="L11" s="467">
        <v>4</v>
      </c>
      <c r="M11" s="467">
        <v>5</v>
      </c>
      <c r="N11" s="467">
        <v>6</v>
      </c>
    </row>
    <row r="12" spans="1:15" ht="12.75" customHeight="1">
      <c r="A12" s="141" t="s">
        <v>34</v>
      </c>
      <c r="B12" s="146"/>
      <c r="C12" s="147"/>
      <c r="D12" s="136"/>
      <c r="E12" s="351">
        <f>SUM(I34:N34)</f>
        <v>0</v>
      </c>
      <c r="F12" s="148"/>
      <c r="H12" s="311" t="s">
        <v>122</v>
      </c>
      <c r="I12" s="466"/>
      <c r="J12" s="466"/>
      <c r="K12" s="466"/>
      <c r="L12" s="466"/>
      <c r="M12" s="466"/>
      <c r="N12" s="466"/>
    </row>
    <row r="13" spans="1:15" ht="13.8">
      <c r="A13" s="141" t="s">
        <v>15</v>
      </c>
      <c r="B13" s="149"/>
      <c r="C13" s="150" t="s">
        <v>55</v>
      </c>
      <c r="D13" s="136"/>
      <c r="E13" s="352">
        <v>0</v>
      </c>
      <c r="F13" s="148"/>
      <c r="H13" s="311" t="s">
        <v>123</v>
      </c>
      <c r="I13" s="466"/>
      <c r="J13" s="466"/>
      <c r="K13" s="466"/>
      <c r="L13" s="466"/>
      <c r="M13" s="466"/>
      <c r="N13" s="466"/>
    </row>
    <row r="14" spans="1:15" ht="13.8">
      <c r="A14" s="413" t="s">
        <v>224</v>
      </c>
      <c r="B14" s="333"/>
      <c r="C14" s="153"/>
      <c r="D14" s="136"/>
      <c r="E14" s="352">
        <v>0</v>
      </c>
      <c r="F14" s="148"/>
      <c r="H14" s="311" t="s">
        <v>124</v>
      </c>
      <c r="I14" s="466"/>
      <c r="J14" s="466"/>
      <c r="K14" s="466"/>
      <c r="L14" s="466"/>
      <c r="M14" s="466"/>
      <c r="N14" s="466"/>
    </row>
    <row r="15" spans="1:15" ht="13.8">
      <c r="A15" s="260" t="s">
        <v>13</v>
      </c>
      <c r="B15" s="152"/>
      <c r="C15" s="153"/>
      <c r="D15" s="136"/>
      <c r="E15" s="353">
        <f>SUM(E12:E14)</f>
        <v>0</v>
      </c>
      <c r="F15" s="148"/>
      <c r="H15" s="311" t="s">
        <v>125</v>
      </c>
      <c r="I15" s="466"/>
      <c r="J15" s="466"/>
      <c r="K15" s="466"/>
      <c r="L15" s="466"/>
      <c r="M15" s="466"/>
      <c r="N15" s="466"/>
    </row>
    <row r="16" spans="1:15" ht="13.8">
      <c r="A16" s="151"/>
      <c r="B16" s="154"/>
      <c r="C16" s="155"/>
      <c r="D16" s="136"/>
      <c r="E16" s="354"/>
      <c r="F16" s="148"/>
      <c r="H16" s="311" t="s">
        <v>126</v>
      </c>
      <c r="I16" s="466"/>
      <c r="J16" s="466"/>
      <c r="K16" s="466"/>
      <c r="L16" s="466"/>
      <c r="M16" s="466"/>
      <c r="N16" s="466"/>
    </row>
    <row r="17" spans="1:15" ht="13.8">
      <c r="A17" s="156" t="s">
        <v>48</v>
      </c>
      <c r="B17" s="157"/>
      <c r="C17" s="288">
        <v>0</v>
      </c>
      <c r="D17" s="136"/>
      <c r="E17" s="355">
        <f>$C17*E15</f>
        <v>0</v>
      </c>
      <c r="F17" s="148"/>
      <c r="H17" s="309"/>
      <c r="I17" s="310"/>
      <c r="J17" s="310"/>
      <c r="K17" s="310"/>
      <c r="L17" s="310"/>
      <c r="M17" s="310"/>
      <c r="N17" s="310"/>
    </row>
    <row r="18" spans="1:15" ht="13.8">
      <c r="A18" s="156" t="s">
        <v>74</v>
      </c>
      <c r="B18" s="157"/>
      <c r="C18" s="288">
        <v>0</v>
      </c>
      <c r="D18" s="136"/>
      <c r="E18" s="356">
        <f>$C18*E15</f>
        <v>0</v>
      </c>
      <c r="F18" s="148"/>
      <c r="H18" s="192" t="s">
        <v>127</v>
      </c>
      <c r="I18" s="491" t="s">
        <v>130</v>
      </c>
      <c r="J18" s="492"/>
      <c r="K18" s="492"/>
      <c r="L18" s="492"/>
      <c r="M18" s="492"/>
      <c r="N18" s="493"/>
    </row>
    <row r="19" spans="1:15" ht="13.8">
      <c r="A19" s="260" t="s">
        <v>44</v>
      </c>
      <c r="B19" s="158"/>
      <c r="C19" s="153"/>
      <c r="D19" s="136"/>
      <c r="E19" s="353">
        <f>SUM(E15:E18)</f>
        <v>0</v>
      </c>
      <c r="F19" s="159">
        <f>IF(E19=0,0,E19/E$47)</f>
        <v>0</v>
      </c>
      <c r="H19" s="141"/>
      <c r="I19" s="145">
        <v>1</v>
      </c>
      <c r="J19" s="145">
        <v>2</v>
      </c>
      <c r="K19" s="145">
        <v>3</v>
      </c>
      <c r="L19" s="145">
        <v>4</v>
      </c>
      <c r="M19" s="145">
        <v>5</v>
      </c>
      <c r="N19" s="145">
        <v>6</v>
      </c>
    </row>
    <row r="20" spans="1:15" ht="13.8">
      <c r="A20" s="151"/>
      <c r="B20" s="154"/>
      <c r="C20" s="155"/>
      <c r="D20" s="136"/>
      <c r="E20" s="354"/>
      <c r="F20" s="148"/>
      <c r="H20" s="141" t="s">
        <v>122</v>
      </c>
      <c r="I20" s="290"/>
      <c r="J20" s="290"/>
      <c r="K20" s="290"/>
      <c r="L20" s="290"/>
      <c r="M20" s="290"/>
      <c r="N20" s="290"/>
    </row>
    <row r="21" spans="1:15" ht="13.8">
      <c r="A21" s="160" t="s">
        <v>49</v>
      </c>
      <c r="B21" s="157"/>
      <c r="C21" s="155"/>
      <c r="D21" s="161"/>
      <c r="E21" s="357">
        <f>E19*0.96</f>
        <v>0</v>
      </c>
      <c r="F21" s="162"/>
      <c r="G21" s="76"/>
      <c r="H21" s="141" t="s">
        <v>123</v>
      </c>
      <c r="I21" s="290"/>
      <c r="J21" s="290"/>
      <c r="K21" s="290"/>
      <c r="L21" s="290"/>
      <c r="M21" s="290"/>
      <c r="N21" s="290"/>
    </row>
    <row r="22" spans="1:15" s="76" customFormat="1" ht="13.8">
      <c r="A22" s="156" t="s">
        <v>59</v>
      </c>
      <c r="B22" s="157"/>
      <c r="C22" s="163" t="s">
        <v>38</v>
      </c>
      <c r="D22" s="136"/>
      <c r="E22" s="355" t="e">
        <f>E21*'5-Premies en opslagen'!$C24</f>
        <v>#DIV/0!</v>
      </c>
      <c r="F22" s="148"/>
      <c r="G22" s="3"/>
      <c r="H22" s="141" t="s">
        <v>124</v>
      </c>
      <c r="I22" s="290"/>
      <c r="J22" s="290"/>
      <c r="K22" s="290"/>
      <c r="L22" s="290"/>
      <c r="M22" s="290"/>
      <c r="N22" s="290"/>
      <c r="O22" s="3"/>
    </row>
    <row r="23" spans="1:15" ht="14.25" customHeight="1">
      <c r="A23" s="260" t="s">
        <v>56</v>
      </c>
      <c r="B23" s="158"/>
      <c r="C23" s="153"/>
      <c r="D23" s="136"/>
      <c r="E23" s="353" t="e">
        <f>E22+E19</f>
        <v>#DIV/0!</v>
      </c>
      <c r="F23" s="159" t="e">
        <f>IF(E23=0,0,E23/E$47)</f>
        <v>#DIV/0!</v>
      </c>
      <c r="H23" s="141" t="s">
        <v>125</v>
      </c>
      <c r="I23" s="290"/>
      <c r="J23" s="290"/>
      <c r="K23" s="290"/>
      <c r="L23" s="290"/>
      <c r="M23" s="290"/>
      <c r="N23" s="290"/>
      <c r="O23" s="76"/>
    </row>
    <row r="24" spans="1:15" ht="12.75" customHeight="1">
      <c r="A24" s="151"/>
      <c r="B24" s="158"/>
      <c r="C24" s="153"/>
      <c r="D24" s="136"/>
      <c r="E24" s="350"/>
      <c r="F24" s="148"/>
      <c r="H24" s="141" t="s">
        <v>126</v>
      </c>
      <c r="I24" s="290"/>
      <c r="J24" s="290"/>
      <c r="K24" s="290"/>
      <c r="L24" s="290"/>
      <c r="M24" s="290"/>
      <c r="N24" s="290"/>
    </row>
    <row r="25" spans="1:15" ht="12.75" customHeight="1">
      <c r="A25" s="156" t="s">
        <v>30</v>
      </c>
      <c r="B25" s="157"/>
      <c r="C25" s="163" t="s">
        <v>38</v>
      </c>
      <c r="D25" s="136"/>
      <c r="E25" s="355" t="e">
        <f>E23*'5-Premies en opslagen'!$B53</f>
        <v>#DIV/0!</v>
      </c>
      <c r="F25" s="148"/>
      <c r="H25" s="167" t="s">
        <v>129</v>
      </c>
      <c r="I25" s="313">
        <f t="shared" ref="I25:N25" si="0">SUM(I20:I24)</f>
        <v>0</v>
      </c>
      <c r="J25" s="313">
        <f t="shared" si="0"/>
        <v>0</v>
      </c>
      <c r="K25" s="313">
        <f t="shared" si="0"/>
        <v>0</v>
      </c>
      <c r="L25" s="313">
        <f t="shared" si="0"/>
        <v>0</v>
      </c>
      <c r="M25" s="313">
        <f t="shared" si="0"/>
        <v>0</v>
      </c>
      <c r="N25" s="313">
        <f t="shared" si="0"/>
        <v>0</v>
      </c>
      <c r="O25" s="15">
        <f>SUM(I25:N25)</f>
        <v>0</v>
      </c>
    </row>
    <row r="26" spans="1:15" ht="13.8">
      <c r="A26" s="260" t="s">
        <v>66</v>
      </c>
      <c r="B26" s="158"/>
      <c r="C26" s="153"/>
      <c r="D26" s="136"/>
      <c r="E26" s="353" t="e">
        <f>SUM(E23:E25)</f>
        <v>#DIV/0!</v>
      </c>
      <c r="F26" s="159" t="e">
        <f>IF(E26=0,0,E26/E$47)</f>
        <v>#DIV/0!</v>
      </c>
    </row>
    <row r="27" spans="1:15" ht="13.8">
      <c r="A27" s="151"/>
      <c r="B27" s="158"/>
      <c r="C27" s="153"/>
      <c r="D27" s="136"/>
      <c r="E27" s="350"/>
      <c r="F27" s="148"/>
      <c r="H27" s="319" t="s">
        <v>127</v>
      </c>
      <c r="I27" s="486" t="s">
        <v>131</v>
      </c>
      <c r="J27" s="486"/>
      <c r="K27" s="486"/>
      <c r="L27" s="486"/>
      <c r="M27" s="486"/>
      <c r="N27" s="486"/>
    </row>
    <row r="28" spans="1:15" ht="13.8">
      <c r="A28" s="151" t="s">
        <v>50</v>
      </c>
      <c r="B28" s="164"/>
      <c r="C28" s="150" t="s">
        <v>55</v>
      </c>
      <c r="D28" s="136"/>
      <c r="E28" s="352">
        <v>0</v>
      </c>
      <c r="F28" s="268">
        <v>0</v>
      </c>
      <c r="H28" s="320"/>
      <c r="I28" s="321">
        <v>1</v>
      </c>
      <c r="J28" s="321">
        <v>2</v>
      </c>
      <c r="K28" s="321">
        <v>3</v>
      </c>
      <c r="L28" s="321">
        <v>4</v>
      </c>
      <c r="M28" s="321">
        <v>5</v>
      </c>
      <c r="N28" s="321">
        <v>6</v>
      </c>
    </row>
    <row r="29" spans="1:15" ht="13.8">
      <c r="A29" s="151" t="s">
        <v>53</v>
      </c>
      <c r="B29" s="165"/>
      <c r="C29" s="150" t="s">
        <v>55</v>
      </c>
      <c r="D29" s="136"/>
      <c r="E29" s="352">
        <v>0</v>
      </c>
      <c r="F29" s="268">
        <v>0</v>
      </c>
      <c r="H29" s="141" t="s">
        <v>122</v>
      </c>
      <c r="I29" s="322">
        <f t="shared" ref="I29:N29" si="1">I20*I12</f>
        <v>0</v>
      </c>
      <c r="J29" s="322">
        <f t="shared" si="1"/>
        <v>0</v>
      </c>
      <c r="K29" s="322">
        <f t="shared" si="1"/>
        <v>0</v>
      </c>
      <c r="L29" s="322">
        <f t="shared" si="1"/>
        <v>0</v>
      </c>
      <c r="M29" s="322">
        <f t="shared" si="1"/>
        <v>0</v>
      </c>
      <c r="N29" s="323">
        <f t="shared" si="1"/>
        <v>0</v>
      </c>
    </row>
    <row r="30" spans="1:15" ht="13.8">
      <c r="A30" s="151"/>
      <c r="B30" s="158"/>
      <c r="C30" s="153"/>
      <c r="D30" s="136"/>
      <c r="E30" s="350"/>
      <c r="F30" s="148"/>
      <c r="H30" s="141" t="s">
        <v>123</v>
      </c>
      <c r="I30" s="322">
        <f t="shared" ref="I30:N30" si="2">I21*I13</f>
        <v>0</v>
      </c>
      <c r="J30" s="322">
        <f t="shared" si="2"/>
        <v>0</v>
      </c>
      <c r="K30" s="322">
        <f t="shared" si="2"/>
        <v>0</v>
      </c>
      <c r="L30" s="322">
        <f t="shared" si="2"/>
        <v>0</v>
      </c>
      <c r="M30" s="322">
        <f t="shared" si="2"/>
        <v>0</v>
      </c>
      <c r="N30" s="323">
        <f t="shared" si="2"/>
        <v>0</v>
      </c>
    </row>
    <row r="31" spans="1:15" ht="12.75" customHeight="1">
      <c r="A31" s="289"/>
      <c r="B31" s="334"/>
      <c r="C31" s="335" t="s">
        <v>52</v>
      </c>
      <c r="D31" s="136"/>
      <c r="E31" s="352"/>
      <c r="F31" s="148"/>
      <c r="H31" s="141" t="s">
        <v>124</v>
      </c>
      <c r="I31" s="322">
        <f t="shared" ref="I31:N31" si="3">I22*I14</f>
        <v>0</v>
      </c>
      <c r="J31" s="322">
        <f t="shared" si="3"/>
        <v>0</v>
      </c>
      <c r="K31" s="322">
        <f t="shared" si="3"/>
        <v>0</v>
      </c>
      <c r="L31" s="322">
        <f t="shared" si="3"/>
        <v>0</v>
      </c>
      <c r="M31" s="322">
        <f t="shared" si="3"/>
        <v>0</v>
      </c>
      <c r="N31" s="323">
        <f t="shared" si="3"/>
        <v>0</v>
      </c>
    </row>
    <row r="32" spans="1:15" ht="12.75" customHeight="1">
      <c r="A32" s="260" t="s">
        <v>46</v>
      </c>
      <c r="B32" s="158"/>
      <c r="C32" s="153"/>
      <c r="D32" s="136"/>
      <c r="E32" s="353" t="e">
        <f>SUM(E26:E31)</f>
        <v>#DIV/0!</v>
      </c>
      <c r="F32" s="159" t="e">
        <f>IF(E32=0,0,E32/E$47)</f>
        <v>#DIV/0!</v>
      </c>
      <c r="H32" s="141" t="s">
        <v>125</v>
      </c>
      <c r="I32" s="322">
        <f t="shared" ref="I32:N32" si="4">I23*I15</f>
        <v>0</v>
      </c>
      <c r="J32" s="322">
        <f t="shared" si="4"/>
        <v>0</v>
      </c>
      <c r="K32" s="322">
        <f t="shared" si="4"/>
        <v>0</v>
      </c>
      <c r="L32" s="322">
        <f t="shared" si="4"/>
        <v>0</v>
      </c>
      <c r="M32" s="322">
        <f t="shared" si="4"/>
        <v>0</v>
      </c>
      <c r="N32" s="323">
        <f t="shared" si="4"/>
        <v>0</v>
      </c>
    </row>
    <row r="33" spans="1:14" ht="12.75" customHeight="1">
      <c r="A33" s="151"/>
      <c r="B33" s="158"/>
      <c r="C33" s="153"/>
      <c r="D33" s="136"/>
      <c r="E33" s="350"/>
      <c r="F33" s="148"/>
      <c r="H33" s="320" t="s">
        <v>126</v>
      </c>
      <c r="I33" s="322">
        <f t="shared" ref="I33:N33" si="5">I24*I16</f>
        <v>0</v>
      </c>
      <c r="J33" s="322">
        <f t="shared" si="5"/>
        <v>0</v>
      </c>
      <c r="K33" s="322">
        <f t="shared" si="5"/>
        <v>0</v>
      </c>
      <c r="L33" s="322">
        <f t="shared" si="5"/>
        <v>0</v>
      </c>
      <c r="M33" s="322">
        <f t="shared" si="5"/>
        <v>0</v>
      </c>
      <c r="N33" s="323">
        <f t="shared" si="5"/>
        <v>0</v>
      </c>
    </row>
    <row r="34" spans="1:14" ht="12.75" customHeight="1">
      <c r="A34" s="151" t="s">
        <v>67</v>
      </c>
      <c r="B34" s="158"/>
      <c r="C34" s="166"/>
      <c r="D34" s="136"/>
      <c r="E34" s="352">
        <v>0</v>
      </c>
      <c r="F34" s="344" t="e">
        <f>E34/$E$47</f>
        <v>#DIV/0!</v>
      </c>
      <c r="H34" s="324" t="s">
        <v>129</v>
      </c>
      <c r="I34" s="325">
        <f t="shared" ref="I34:N34" si="6">SUM(I29:I33)</f>
        <v>0</v>
      </c>
      <c r="J34" s="325">
        <f t="shared" si="6"/>
        <v>0</v>
      </c>
      <c r="K34" s="325">
        <f t="shared" si="6"/>
        <v>0</v>
      </c>
      <c r="L34" s="325">
        <f t="shared" si="6"/>
        <v>0</v>
      </c>
      <c r="M34" s="325">
        <f t="shared" si="6"/>
        <v>0</v>
      </c>
      <c r="N34" s="325">
        <f t="shared" si="6"/>
        <v>0</v>
      </c>
    </row>
    <row r="35" spans="1:14" ht="12.75" customHeight="1">
      <c r="A35" s="151" t="s">
        <v>29</v>
      </c>
      <c r="B35" s="158"/>
      <c r="C35" s="166"/>
      <c r="D35" s="136"/>
      <c r="E35" s="352">
        <v>0</v>
      </c>
      <c r="F35" s="344" t="e">
        <f t="shared" ref="F35:F41" si="7">E35/$E$47</f>
        <v>#DIV/0!</v>
      </c>
      <c r="H35" s="76"/>
      <c r="I35" s="76"/>
      <c r="J35" s="76"/>
      <c r="K35" s="76"/>
      <c r="L35" s="76"/>
      <c r="M35" s="76"/>
      <c r="N35" s="76"/>
    </row>
    <row r="36" spans="1:14" ht="14.25" customHeight="1">
      <c r="A36" s="151" t="s">
        <v>21</v>
      </c>
      <c r="B36" s="158"/>
      <c r="C36" s="166"/>
      <c r="D36" s="136"/>
      <c r="E36" s="352">
        <v>0</v>
      </c>
      <c r="F36" s="344" t="e">
        <f t="shared" si="7"/>
        <v>#DIV/0!</v>
      </c>
      <c r="H36" s="76"/>
      <c r="I36" s="76"/>
      <c r="J36" s="76"/>
      <c r="K36" s="76"/>
      <c r="L36" s="76"/>
      <c r="M36" s="76"/>
      <c r="N36" s="76"/>
    </row>
    <row r="37" spans="1:14" ht="13.8">
      <c r="A37" s="151" t="s">
        <v>3</v>
      </c>
      <c r="B37" s="158"/>
      <c r="C37" s="168"/>
      <c r="D37" s="136"/>
      <c r="E37" s="352">
        <v>0</v>
      </c>
      <c r="F37" s="344" t="e">
        <f t="shared" si="7"/>
        <v>#DIV/0!</v>
      </c>
      <c r="H37" s="76"/>
      <c r="I37" s="76"/>
      <c r="J37" s="76"/>
      <c r="K37" s="76"/>
      <c r="L37" s="76"/>
      <c r="M37" s="76"/>
      <c r="N37" s="76"/>
    </row>
    <row r="38" spans="1:14" ht="13.8">
      <c r="A38" s="151" t="s">
        <v>28</v>
      </c>
      <c r="B38" s="158"/>
      <c r="C38" s="166"/>
      <c r="D38" s="136"/>
      <c r="E38" s="352">
        <v>0</v>
      </c>
      <c r="F38" s="344" t="e">
        <f t="shared" si="7"/>
        <v>#DIV/0!</v>
      </c>
      <c r="H38" s="76"/>
      <c r="I38" s="76"/>
      <c r="J38" s="76"/>
      <c r="K38" s="76"/>
      <c r="L38" s="76"/>
      <c r="M38" s="76"/>
      <c r="N38" s="76"/>
    </row>
    <row r="39" spans="1:14" ht="13.8">
      <c r="A39" s="151" t="s">
        <v>25</v>
      </c>
      <c r="B39" s="158"/>
      <c r="C39" s="168"/>
      <c r="D39" s="136"/>
      <c r="E39" s="352">
        <v>0</v>
      </c>
      <c r="F39" s="344" t="e">
        <f t="shared" si="7"/>
        <v>#DIV/0!</v>
      </c>
      <c r="H39" s="76"/>
      <c r="I39" s="76"/>
      <c r="J39" s="76"/>
      <c r="K39" s="76"/>
      <c r="L39" s="76"/>
      <c r="M39" s="76"/>
      <c r="N39" s="76"/>
    </row>
    <row r="40" spans="1:14" ht="13.8">
      <c r="A40" s="151" t="s">
        <v>60</v>
      </c>
      <c r="B40" s="158"/>
      <c r="C40" s="150" t="s">
        <v>55</v>
      </c>
      <c r="D40" s="136"/>
      <c r="E40" s="352">
        <v>0</v>
      </c>
      <c r="F40" s="344" t="e">
        <f t="shared" si="7"/>
        <v>#DIV/0!</v>
      </c>
      <c r="H40" s="76"/>
      <c r="I40" s="76"/>
      <c r="J40" s="76"/>
      <c r="K40" s="76"/>
      <c r="L40" s="76"/>
      <c r="M40" s="76"/>
      <c r="N40" s="76"/>
    </row>
    <row r="41" spans="1:14" ht="13.8">
      <c r="A41" s="151" t="s">
        <v>73</v>
      </c>
      <c r="B41" s="158"/>
      <c r="C41" s="150"/>
      <c r="D41" s="136"/>
      <c r="E41" s="352">
        <v>0</v>
      </c>
      <c r="F41" s="344" t="e">
        <f t="shared" si="7"/>
        <v>#DIV/0!</v>
      </c>
      <c r="H41" s="76"/>
      <c r="I41" s="76"/>
      <c r="J41" s="76"/>
      <c r="K41" s="76"/>
      <c r="L41" s="76"/>
      <c r="M41" s="76"/>
      <c r="N41" s="76"/>
    </row>
    <row r="42" spans="1:14" ht="13.8">
      <c r="A42" s="289"/>
      <c r="B42" s="334"/>
      <c r="C42" s="336"/>
      <c r="D42" s="136"/>
      <c r="E42" s="352">
        <v>0</v>
      </c>
      <c r="F42" s="148"/>
      <c r="H42" s="76"/>
      <c r="I42" s="76"/>
      <c r="J42" s="76"/>
      <c r="K42" s="76"/>
      <c r="L42" s="76"/>
      <c r="M42" s="76"/>
      <c r="N42" s="76"/>
    </row>
    <row r="43" spans="1:14" ht="13.8">
      <c r="A43" s="260" t="s">
        <v>61</v>
      </c>
      <c r="B43" s="158"/>
      <c r="C43" s="153"/>
      <c r="D43" s="136"/>
      <c r="E43" s="353" t="e">
        <f>SUM(E32:E42)</f>
        <v>#DIV/0!</v>
      </c>
      <c r="F43" s="159" t="e">
        <f>IF(E43=0,0,E43/E$47)</f>
        <v>#DIV/0!</v>
      </c>
      <c r="H43" s="76"/>
      <c r="I43" s="76"/>
      <c r="J43" s="76"/>
      <c r="K43" s="76"/>
      <c r="L43" s="76"/>
      <c r="M43" s="76"/>
      <c r="N43" s="76"/>
    </row>
    <row r="44" spans="1:14" ht="13.8">
      <c r="A44" s="151"/>
      <c r="B44" s="158"/>
      <c r="C44" s="153"/>
      <c r="D44" s="136"/>
      <c r="E44" s="350"/>
      <c r="F44" s="169"/>
      <c r="H44" s="76"/>
      <c r="I44" s="76"/>
      <c r="J44" s="76"/>
      <c r="K44" s="76"/>
      <c r="L44" s="76"/>
      <c r="M44" s="76"/>
      <c r="N44" s="76"/>
    </row>
    <row r="45" spans="1:14" ht="13.8">
      <c r="A45" s="151" t="s">
        <v>62</v>
      </c>
      <c r="B45" s="158"/>
      <c r="C45" s="168"/>
      <c r="D45" s="136"/>
      <c r="E45" s="352">
        <v>0</v>
      </c>
      <c r="F45" s="159">
        <f>(IF(E45=0,0,E45/E$47))</f>
        <v>0</v>
      </c>
      <c r="H45" s="76"/>
      <c r="I45" s="76"/>
      <c r="J45" s="76"/>
      <c r="K45" s="76"/>
      <c r="L45" s="76"/>
      <c r="M45" s="76"/>
      <c r="N45" s="76"/>
    </row>
    <row r="46" spans="1:14" ht="34.200000000000003">
      <c r="A46" s="151"/>
      <c r="B46" s="152"/>
      <c r="C46" s="153"/>
      <c r="D46" s="136"/>
      <c r="E46" s="350"/>
      <c r="F46" s="148"/>
      <c r="H46" s="189" t="s">
        <v>219</v>
      </c>
      <c r="I46" s="190"/>
      <c r="J46" s="191"/>
      <c r="K46" s="380" t="s">
        <v>181</v>
      </c>
      <c r="L46" s="76"/>
      <c r="M46" s="76"/>
      <c r="N46" s="76"/>
    </row>
    <row r="47" spans="1:14" ht="13.8">
      <c r="A47" s="260" t="s">
        <v>39</v>
      </c>
      <c r="B47" s="195"/>
      <c r="C47" s="170"/>
      <c r="D47" s="136"/>
      <c r="E47" s="264" t="e">
        <f>SUM(E43:E46)</f>
        <v>#DIV/0!</v>
      </c>
      <c r="F47" s="266" t="e">
        <f>SUM(F43:F46)</f>
        <v>#DIV/0!</v>
      </c>
      <c r="H47" s="141"/>
      <c r="I47" s="142" t="s">
        <v>52</v>
      </c>
      <c r="J47" s="143" t="s">
        <v>52</v>
      </c>
      <c r="K47" s="350"/>
      <c r="L47" s="76"/>
      <c r="M47" s="76"/>
      <c r="N47" s="76"/>
    </row>
    <row r="48" spans="1:14" ht="13.8">
      <c r="B48" s="171"/>
      <c r="C48" s="172"/>
      <c r="D48" s="136"/>
      <c r="F48" s="173"/>
      <c r="H48" s="377" t="s">
        <v>13</v>
      </c>
      <c r="I48" s="378"/>
      <c r="J48" s="379"/>
      <c r="K48" s="353">
        <f>E15</f>
        <v>0</v>
      </c>
      <c r="L48" s="76"/>
      <c r="M48" s="76"/>
      <c r="N48" s="76"/>
    </row>
    <row r="49" spans="1:15" ht="13.8">
      <c r="A49" s="175" t="s">
        <v>186</v>
      </c>
      <c r="B49" s="176"/>
      <c r="C49" s="177"/>
      <c r="D49" s="76"/>
      <c r="E49" s="358" t="e">
        <f>(E$26*1.3)+($E$47-$E$26)</f>
        <v>#DIV/0!</v>
      </c>
      <c r="F49" s="178"/>
      <c r="G49" s="76"/>
      <c r="H49" s="376" t="s">
        <v>48</v>
      </c>
      <c r="I49" s="374"/>
      <c r="J49" s="375"/>
      <c r="K49" s="355">
        <f>E17</f>
        <v>0</v>
      </c>
      <c r="L49" s="76"/>
      <c r="M49" s="76"/>
      <c r="N49" s="76"/>
    </row>
    <row r="50" spans="1:15" s="76" customFormat="1" ht="13.8">
      <c r="B50" s="179"/>
      <c r="C50" s="180"/>
      <c r="H50" s="156" t="s">
        <v>74</v>
      </c>
      <c r="I50" s="374"/>
      <c r="J50" s="375"/>
      <c r="K50" s="356">
        <f>E18</f>
        <v>0</v>
      </c>
    </row>
    <row r="51" spans="1:15" s="76" customFormat="1" ht="13.8">
      <c r="A51" s="175" t="s">
        <v>42</v>
      </c>
      <c r="B51" s="176"/>
      <c r="C51" s="177"/>
      <c r="E51" s="358" t="e">
        <f>(E$26*1.5)+($E$47-$E$26)</f>
        <v>#DIV/0!</v>
      </c>
      <c r="F51" s="178"/>
      <c r="H51" s="156" t="s">
        <v>59</v>
      </c>
      <c r="I51" s="374"/>
      <c r="J51" s="375"/>
      <c r="K51" s="355" t="e">
        <f>E22</f>
        <v>#DIV/0!</v>
      </c>
    </row>
    <row r="52" spans="1:15" s="76" customFormat="1" ht="13.8">
      <c r="B52" s="179"/>
      <c r="C52" s="180"/>
      <c r="H52" s="156" t="s">
        <v>30</v>
      </c>
      <c r="I52" s="157"/>
      <c r="J52" s="163"/>
      <c r="K52" s="355" t="e">
        <f>E25</f>
        <v>#DIV/0!</v>
      </c>
    </row>
    <row r="53" spans="1:15" s="76" customFormat="1" ht="13.8">
      <c r="A53" s="175" t="s">
        <v>71</v>
      </c>
      <c r="B53" s="176"/>
      <c r="C53" s="177"/>
      <c r="E53" s="358" t="e">
        <f>(E$26*2.5)+($E$47-$E$26)</f>
        <v>#DIV/0!</v>
      </c>
      <c r="H53" s="151" t="s">
        <v>50</v>
      </c>
      <c r="I53" s="164"/>
      <c r="J53" s="150"/>
      <c r="K53" s="351">
        <f>E28</f>
        <v>0</v>
      </c>
    </row>
    <row r="54" spans="1:15" s="76" customFormat="1" ht="13.8">
      <c r="B54" s="179"/>
      <c r="C54" s="181"/>
      <c r="F54" s="182"/>
      <c r="H54" s="151" t="s">
        <v>53</v>
      </c>
      <c r="I54" s="165"/>
      <c r="J54" s="150"/>
      <c r="K54" s="351">
        <f t="shared" ref="K54:K55" si="8">E29</f>
        <v>0</v>
      </c>
    </row>
    <row r="55" spans="1:15" s="76" customFormat="1" ht="13.8">
      <c r="C55" s="183"/>
      <c r="F55" s="182"/>
      <c r="H55" s="151" t="s">
        <v>54</v>
      </c>
      <c r="I55" s="158"/>
      <c r="J55" s="153" t="s">
        <v>52</v>
      </c>
      <c r="K55" s="351">
        <f t="shared" si="8"/>
        <v>0</v>
      </c>
    </row>
    <row r="56" spans="1:15" s="76" customFormat="1" ht="13.8">
      <c r="C56" s="183"/>
      <c r="F56" s="182"/>
      <c r="H56" s="151" t="s">
        <v>67</v>
      </c>
      <c r="I56" s="158"/>
      <c r="J56" s="166"/>
      <c r="K56" s="351">
        <f>E34</f>
        <v>0</v>
      </c>
    </row>
    <row r="57" spans="1:15" s="76" customFormat="1" ht="13.8">
      <c r="A57" s="3"/>
      <c r="C57" s="183"/>
      <c r="F57" s="182"/>
      <c r="H57" s="151" t="s">
        <v>29</v>
      </c>
      <c r="I57" s="158"/>
      <c r="J57" s="166"/>
      <c r="K57" s="351">
        <f t="shared" ref="K57:K63" si="9">E35</f>
        <v>0</v>
      </c>
    </row>
    <row r="58" spans="1:15" s="76" customFormat="1" ht="13.8">
      <c r="C58" s="183"/>
      <c r="F58" s="182"/>
      <c r="H58" s="151" t="s">
        <v>21</v>
      </c>
      <c r="I58" s="158"/>
      <c r="J58" s="166"/>
      <c r="K58" s="351">
        <f t="shared" si="9"/>
        <v>0</v>
      </c>
    </row>
    <row r="59" spans="1:15" s="76" customFormat="1" ht="13.8">
      <c r="C59" s="183"/>
      <c r="F59" s="182"/>
      <c r="H59" s="151" t="s">
        <v>3</v>
      </c>
      <c r="I59" s="158"/>
      <c r="J59" s="168"/>
      <c r="K59" s="351">
        <f t="shared" si="9"/>
        <v>0</v>
      </c>
    </row>
    <row r="60" spans="1:15" s="76" customFormat="1" ht="13.8">
      <c r="C60" s="183"/>
      <c r="F60" s="182"/>
      <c r="H60" s="151" t="s">
        <v>28</v>
      </c>
      <c r="I60" s="158"/>
      <c r="J60" s="166"/>
      <c r="K60" s="351">
        <f t="shared" si="9"/>
        <v>0</v>
      </c>
    </row>
    <row r="61" spans="1:15" s="76" customFormat="1" ht="13.8">
      <c r="C61" s="183"/>
      <c r="F61" s="182"/>
      <c r="H61" s="151" t="s">
        <v>25</v>
      </c>
      <c r="I61" s="158"/>
      <c r="J61" s="168"/>
      <c r="K61" s="351">
        <f t="shared" si="9"/>
        <v>0</v>
      </c>
      <c r="M61" s="3"/>
      <c r="N61" s="3"/>
    </row>
    <row r="62" spans="1:15" s="76" customFormat="1" ht="13.8">
      <c r="C62" s="183"/>
      <c r="F62" s="182"/>
      <c r="H62" s="151" t="s">
        <v>60</v>
      </c>
      <c r="I62" s="158"/>
      <c r="J62" s="150"/>
      <c r="K62" s="351">
        <f t="shared" si="9"/>
        <v>0</v>
      </c>
      <c r="M62" s="3"/>
      <c r="N62" s="3"/>
    </row>
    <row r="63" spans="1:15" s="76" customFormat="1" ht="13.8">
      <c r="C63" s="183"/>
      <c r="F63" s="182"/>
      <c r="H63" s="151" t="s">
        <v>73</v>
      </c>
      <c r="I63" s="158"/>
      <c r="J63" s="150"/>
      <c r="K63" s="351">
        <f t="shared" si="9"/>
        <v>0</v>
      </c>
      <c r="M63" s="3"/>
      <c r="N63" s="3"/>
      <c r="O63" s="3"/>
    </row>
    <row r="64" spans="1:15" s="76" customFormat="1" ht="13.8">
      <c r="C64" s="183"/>
      <c r="F64" s="182"/>
      <c r="H64" s="151" t="s">
        <v>62</v>
      </c>
      <c r="I64" s="158"/>
      <c r="J64" s="168"/>
      <c r="K64" s="351">
        <f>E45</f>
        <v>0</v>
      </c>
      <c r="M64" s="3"/>
      <c r="N64" s="3"/>
    </row>
    <row r="65" spans="1:15" s="76" customFormat="1" ht="13.8">
      <c r="A65" s="3"/>
      <c r="B65" s="3"/>
      <c r="C65" s="3"/>
      <c r="D65" s="3"/>
      <c r="E65" s="3"/>
      <c r="F65" s="3"/>
      <c r="H65" s="151"/>
      <c r="I65" s="152"/>
      <c r="J65" s="153"/>
      <c r="K65" s="350"/>
      <c r="M65" s="3"/>
      <c r="N65" s="3"/>
    </row>
    <row r="66" spans="1:15" ht="13.8">
      <c r="H66" s="260" t="s">
        <v>39</v>
      </c>
      <c r="I66" s="265"/>
      <c r="J66" s="170"/>
      <c r="K66" s="264" t="e">
        <f>SUM(K48:K65)</f>
        <v>#DIV/0!</v>
      </c>
      <c r="L66" s="76"/>
      <c r="O66" s="76"/>
    </row>
    <row r="67" spans="1:15" ht="13.8">
      <c r="I67" s="171"/>
      <c r="J67" s="172"/>
      <c r="L67" s="76"/>
      <c r="O67" s="76"/>
    </row>
    <row r="68" spans="1:15" ht="13.8">
      <c r="H68" s="175" t="s">
        <v>186</v>
      </c>
      <c r="I68" s="176"/>
      <c r="J68" s="177"/>
      <c r="K68" s="358" t="e">
        <f>E49</f>
        <v>#DIV/0!</v>
      </c>
      <c r="L68" s="76"/>
      <c r="O68" s="76"/>
    </row>
    <row r="69" spans="1:15" ht="13.8">
      <c r="H69" s="76"/>
      <c r="I69" s="179"/>
      <c r="J69" s="180"/>
      <c r="K69" s="76"/>
      <c r="L69" s="76"/>
      <c r="O69" s="76"/>
    </row>
    <row r="70" spans="1:15" ht="13.8">
      <c r="H70" s="175" t="s">
        <v>42</v>
      </c>
      <c r="I70" s="176"/>
      <c r="J70" s="177"/>
      <c r="K70" s="358" t="e">
        <f>E51</f>
        <v>#DIV/0!</v>
      </c>
      <c r="L70" s="76"/>
      <c r="O70" s="76"/>
    </row>
    <row r="71" spans="1:15" ht="13.8">
      <c r="H71" s="76"/>
      <c r="I71" s="179"/>
      <c r="J71" s="180"/>
      <c r="K71" s="76"/>
      <c r="L71" s="76"/>
      <c r="O71" s="76"/>
    </row>
    <row r="72" spans="1:15" ht="13.8">
      <c r="H72" s="175" t="s">
        <v>71</v>
      </c>
      <c r="I72" s="176"/>
      <c r="J72" s="177"/>
      <c r="K72" s="358" t="e">
        <f>E53</f>
        <v>#DIV/0!</v>
      </c>
      <c r="L72" s="76"/>
      <c r="O72" s="76"/>
    </row>
    <row r="73" spans="1:15">
      <c r="L73" s="76"/>
      <c r="O73" s="76"/>
    </row>
    <row r="74" spans="1:15">
      <c r="O74" s="76"/>
    </row>
    <row r="75" spans="1:15">
      <c r="O75" s="76"/>
    </row>
    <row r="76" spans="1:15">
      <c r="O76" s="76"/>
    </row>
    <row r="77" spans="1:15">
      <c r="O77" s="76"/>
    </row>
    <row r="78" spans="1:15">
      <c r="O78" s="76"/>
    </row>
    <row r="79" spans="1:15">
      <c r="O79" s="76"/>
    </row>
  </sheetData>
  <mergeCells count="7">
    <mergeCell ref="E10:F10"/>
    <mergeCell ref="I10:N10"/>
    <mergeCell ref="I27:N27"/>
    <mergeCell ref="H1:N2"/>
    <mergeCell ref="H3:N3"/>
    <mergeCell ref="H4:N5"/>
    <mergeCell ref="I18:N18"/>
  </mergeCells>
  <conditionalFormatting sqref="O25">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6"/>
  <sheetViews>
    <sheetView showGridLines="0" zoomScaleNormal="100" workbookViewId="0">
      <pane ySplit="10" topLeftCell="A11" activePane="bottomLeft" state="frozen"/>
      <selection activeCell="B1" sqref="B1"/>
      <selection pane="bottomLeft" activeCell="E20" sqref="E20"/>
    </sheetView>
  </sheetViews>
  <sheetFormatPr defaultColWidth="9.109375" defaultRowHeight="13.2"/>
  <cols>
    <col min="1" max="1" width="26.109375" style="3" bestFit="1" customWidth="1"/>
    <col min="2" max="2" width="30.44140625" style="3" bestFit="1" customWidth="1"/>
    <col min="3" max="3" width="12.88671875" style="3" customWidth="1"/>
    <col min="4" max="4" width="11.109375" style="3" customWidth="1"/>
    <col min="5" max="5" width="15.21875" style="3" customWidth="1"/>
    <col min="6" max="6" width="12.88671875" style="3" customWidth="1"/>
    <col min="7" max="7" width="14.77734375" style="3" customWidth="1"/>
    <col min="8" max="8" width="13.21875" style="3" bestFit="1" customWidth="1"/>
    <col min="9" max="9" width="19.88671875" style="3" customWidth="1"/>
    <col min="10" max="16384" width="9.109375" style="3"/>
  </cols>
  <sheetData>
    <row r="1" spans="1:9">
      <c r="A1" s="291" t="s">
        <v>22</v>
      </c>
    </row>
    <row r="3" spans="1:9" ht="15">
      <c r="A3" s="384" t="str">
        <f>'2-Kosten per locatie'!A3</f>
        <v>Naam opdrachtgever</v>
      </c>
      <c r="B3" s="16" t="str">
        <f>'2-Kosten per locatie'!B3</f>
        <v>Stichting Christelijk Onderwijs Haaglanden</v>
      </c>
    </row>
    <row r="4" spans="1:9" ht="15">
      <c r="A4" s="384" t="str">
        <f>'2-Kosten per locatie'!A4</f>
        <v>Calculatie onderdeel</v>
      </c>
      <c r="B4" s="52" t="str">
        <f ca="1">MID(CELL("bestandsnaam",$C$9),SEARCH("]",CELL("bestandsnaam",$C$9),1)+1,256)</f>
        <v>8-Additionele kosten</v>
      </c>
    </row>
    <row r="5" spans="1:9" ht="15">
      <c r="A5" s="384" t="str">
        <f>'2-Kosten per locatie'!A5</f>
        <v>Gebouw/plaats</v>
      </c>
      <c r="B5" s="16" t="str">
        <f>'2-Kosten per locatie'!B5</f>
        <v>Den Haag</v>
      </c>
    </row>
    <row r="6" spans="1:9" ht="15">
      <c r="A6" s="384" t="str">
        <f>'2-Kosten per locatie'!A6</f>
        <v>Referentie nummer</v>
      </c>
      <c r="B6" s="16" t="str">
        <f>'2-Kosten per locatie'!B6</f>
        <v>SCOH-EA-DK-RT-2023</v>
      </c>
    </row>
    <row r="7" spans="1:9" ht="15" customHeight="1">
      <c r="A7" s="384" t="str">
        <f>'2-Kosten per locatie'!A7</f>
        <v>Naam dienstverlener</v>
      </c>
      <c r="B7" s="16">
        <f>'2-Kosten per locatie'!B7</f>
        <v>0</v>
      </c>
      <c r="D7" s="197"/>
      <c r="E7" s="197"/>
      <c r="F7" s="197"/>
      <c r="G7" s="197"/>
      <c r="H7" s="197"/>
      <c r="I7" s="197"/>
    </row>
    <row r="8" spans="1:9" ht="15">
      <c r="A8" s="384" t="str">
        <f>'2-Kosten per locatie'!A8</f>
        <v>Prijspeil</v>
      </c>
      <c r="B8" s="405">
        <f>'2-Kosten per locatie'!B8</f>
        <v>45292</v>
      </c>
      <c r="D8" s="197"/>
      <c r="E8" s="197"/>
      <c r="F8" s="197"/>
      <c r="G8" s="197"/>
      <c r="H8" s="197"/>
      <c r="I8" s="197"/>
    </row>
    <row r="10" spans="1:9" ht="25.2">
      <c r="A10" s="201" t="s">
        <v>94</v>
      </c>
      <c r="B10" s="201" t="s">
        <v>144</v>
      </c>
      <c r="C10" s="201" t="s">
        <v>139</v>
      </c>
      <c r="D10" s="201" t="s">
        <v>95</v>
      </c>
      <c r="E10" s="201" t="s">
        <v>140</v>
      </c>
      <c r="F10" s="201" t="s">
        <v>141</v>
      </c>
      <c r="G10" s="201" t="s">
        <v>142</v>
      </c>
      <c r="H10" s="201" t="s">
        <v>143</v>
      </c>
    </row>
    <row r="11" spans="1:9">
      <c r="A11" s="370"/>
      <c r="B11" s="40"/>
      <c r="C11" s="198"/>
      <c r="D11" s="198"/>
      <c r="E11" s="292"/>
      <c r="F11" s="428">
        <f>E11*D11</f>
        <v>0</v>
      </c>
      <c r="G11" s="430"/>
      <c r="H11" s="199">
        <f t="shared" ref="H11:H13" si="0">G11*F11</f>
        <v>0</v>
      </c>
    </row>
    <row r="12" spans="1:9" s="88" customFormat="1">
      <c r="A12" s="431"/>
      <c r="B12" s="432"/>
      <c r="C12" s="38"/>
      <c r="D12" s="38"/>
      <c r="E12" s="433"/>
      <c r="F12" s="428">
        <f t="shared" ref="F12:F13" si="1">E12*D12</f>
        <v>0</v>
      </c>
      <c r="G12" s="434"/>
      <c r="H12" s="435">
        <f t="shared" si="0"/>
        <v>0</v>
      </c>
    </row>
    <row r="13" spans="1:9">
      <c r="A13" s="370"/>
      <c r="B13" s="40"/>
      <c r="C13" s="198"/>
      <c r="D13" s="198"/>
      <c r="E13" s="292"/>
      <c r="F13" s="428">
        <f t="shared" si="1"/>
        <v>0</v>
      </c>
      <c r="G13" s="430"/>
      <c r="H13" s="199">
        <f t="shared" si="0"/>
        <v>0</v>
      </c>
    </row>
    <row r="14" spans="1:9">
      <c r="A14" s="426"/>
      <c r="B14" s="402"/>
      <c r="C14" s="427"/>
      <c r="D14" s="427"/>
      <c r="E14" s="427"/>
      <c r="F14" s="428"/>
      <c r="G14" s="429"/>
      <c r="H14" s="388"/>
    </row>
    <row r="16" spans="1:9" s="59" customFormat="1" ht="12.6">
      <c r="A16" s="96" t="s">
        <v>9</v>
      </c>
      <c r="B16" s="200"/>
      <c r="C16" s="200"/>
      <c r="D16" s="200"/>
      <c r="E16" s="200"/>
      <c r="F16" s="299">
        <f>SUM(F11:F14)</f>
        <v>0</v>
      </c>
      <c r="G16" s="200"/>
      <c r="H16" s="174">
        <f>SUM(H11:H15)</f>
        <v>0</v>
      </c>
    </row>
  </sheetData>
  <pageMargins left="0.59375" right="0.7" top="0.75" bottom="0.75" header="0.3" footer="0.3"/>
  <pageSetup paperSize="9" scale="9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4"/>
  <sheetViews>
    <sheetView showGridLines="0" showZeros="0" zoomScale="96" zoomScaleNormal="96" zoomScaleSheetLayoutView="75" zoomScalePageLayoutView="50" workbookViewId="0">
      <pane ySplit="9" topLeftCell="A10" activePane="bottomLeft" state="frozen"/>
      <selection activeCell="B1" sqref="B1"/>
      <selection pane="bottomLeft" activeCell="A38" sqref="A38:XFD44"/>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291" t="s">
        <v>22</v>
      </c>
      <c r="B1" s="202"/>
      <c r="C1" s="202"/>
      <c r="D1" s="203"/>
    </row>
    <row r="3" spans="1:6" ht="15.6">
      <c r="A3" s="26" t="str">
        <f>'2-Kosten per locatie'!A3</f>
        <v>Naam opdrachtgever</v>
      </c>
      <c r="B3" s="52" t="str">
        <f>'2-Kosten per locatie'!B3</f>
        <v>Stichting Christelijk Onderwijs Haaglanden</v>
      </c>
      <c r="C3" s="204"/>
      <c r="D3" s="204"/>
    </row>
    <row r="4" spans="1:6" ht="15">
      <c r="A4" s="26" t="str">
        <f>'2-Kosten per locatie'!A4</f>
        <v>Calculatie onderdeel</v>
      </c>
      <c r="B4" s="52" t="str">
        <f ca="1">MID(CELL("bestandsnaam",$C$9),SEARCH("]",CELL("bestandsnaam",$C$9),1)+1,256)</f>
        <v>9-Afroepprijs</v>
      </c>
      <c r="C4" s="205"/>
      <c r="D4" s="206"/>
    </row>
    <row r="5" spans="1:6" ht="15">
      <c r="A5" s="26" t="str">
        <f>'2-Kosten per locatie'!A5</f>
        <v>Gebouw/plaats</v>
      </c>
      <c r="B5" s="52" t="str">
        <f>'2-Kosten per locatie'!B5</f>
        <v>Den Haag</v>
      </c>
      <c r="C5" s="205"/>
      <c r="D5" s="206"/>
    </row>
    <row r="6" spans="1:6" ht="15">
      <c r="A6" s="26" t="str">
        <f>'2-Kosten per locatie'!A6</f>
        <v>Referentie nummer</v>
      </c>
      <c r="B6" s="52" t="str">
        <f>'2-Kosten per locatie'!B6</f>
        <v>SCOH-EA-DK-RT-2023</v>
      </c>
      <c r="C6" s="205"/>
      <c r="D6" s="436"/>
    </row>
    <row r="7" spans="1:6" ht="15">
      <c r="A7" s="26" t="str">
        <f>'2-Kosten per locatie'!A7</f>
        <v>Naam dienstverlener</v>
      </c>
      <c r="B7" s="52">
        <f>'2-Kosten per locatie'!B7</f>
        <v>0</v>
      </c>
      <c r="C7" s="205"/>
      <c r="D7" s="206"/>
    </row>
    <row r="8" spans="1:6" ht="15">
      <c r="A8" s="26" t="str">
        <f>'2-Kosten per locatie'!A8</f>
        <v>Prijspeil</v>
      </c>
      <c r="B8" s="406">
        <f>'2-Kosten per locatie'!B8</f>
        <v>45292</v>
      </c>
      <c r="C8" s="205"/>
      <c r="D8" s="206"/>
    </row>
    <row r="9" spans="1:6" ht="15">
      <c r="A9" s="19"/>
      <c r="B9" s="207"/>
      <c r="C9" s="205"/>
      <c r="D9" s="206"/>
    </row>
    <row r="10" spans="1:6" ht="15">
      <c r="A10" s="229" t="s">
        <v>145</v>
      </c>
      <c r="B10" s="230"/>
      <c r="C10" s="230"/>
      <c r="D10" s="231"/>
      <c r="E10" s="231"/>
      <c r="F10" s="232"/>
    </row>
    <row r="12" spans="1:6">
      <c r="A12" s="213"/>
      <c r="B12" s="214"/>
      <c r="C12" s="495" t="s">
        <v>114</v>
      </c>
      <c r="D12" s="496"/>
      <c r="E12" s="496"/>
      <c r="F12" s="497"/>
    </row>
    <row r="13" spans="1:6">
      <c r="A13" s="215" t="s">
        <v>47</v>
      </c>
      <c r="B13" s="215" t="s">
        <v>12</v>
      </c>
      <c r="C13" s="216" t="s">
        <v>110</v>
      </c>
      <c r="D13" s="198" t="s">
        <v>111</v>
      </c>
      <c r="E13" s="198" t="s">
        <v>112</v>
      </c>
      <c r="F13" s="198" t="s">
        <v>113</v>
      </c>
    </row>
    <row r="14" spans="1:6" ht="13.8">
      <c r="A14" s="208" t="s">
        <v>216</v>
      </c>
      <c r="B14" s="208" t="s">
        <v>32</v>
      </c>
      <c r="C14" s="296">
        <v>0</v>
      </c>
      <c r="D14" s="296">
        <v>0</v>
      </c>
      <c r="E14" s="296">
        <v>0</v>
      </c>
      <c r="F14" s="296">
        <v>0</v>
      </c>
    </row>
    <row r="15" spans="1:6" ht="13.8">
      <c r="A15" s="208" t="s">
        <v>215</v>
      </c>
      <c r="B15" s="208" t="s">
        <v>32</v>
      </c>
      <c r="C15" s="296">
        <v>0</v>
      </c>
      <c r="D15" s="296">
        <v>0</v>
      </c>
      <c r="E15" s="296">
        <v>0</v>
      </c>
      <c r="F15" s="296">
        <v>0</v>
      </c>
    </row>
    <row r="16" spans="1:6" ht="13.8">
      <c r="A16" s="208" t="s">
        <v>69</v>
      </c>
      <c r="B16" s="208" t="s">
        <v>33</v>
      </c>
      <c r="C16" s="296">
        <v>0</v>
      </c>
      <c r="D16" s="296">
        <v>0</v>
      </c>
      <c r="E16" s="296">
        <v>0</v>
      </c>
      <c r="F16" s="296">
        <v>0</v>
      </c>
    </row>
    <row r="17" spans="1:6" ht="13.8">
      <c r="A17" s="215" t="s">
        <v>70</v>
      </c>
      <c r="B17" s="294"/>
      <c r="C17" s="296">
        <v>0</v>
      </c>
      <c r="D17" s="296">
        <v>0</v>
      </c>
      <c r="E17" s="296">
        <v>0</v>
      </c>
      <c r="F17" s="296">
        <v>0</v>
      </c>
    </row>
    <row r="18" spans="1:6" ht="13.8">
      <c r="A18" s="215" t="s">
        <v>8</v>
      </c>
      <c r="B18" s="294"/>
      <c r="C18" s="296">
        <v>0</v>
      </c>
      <c r="D18" s="296">
        <v>0</v>
      </c>
      <c r="E18" s="296">
        <v>0</v>
      </c>
      <c r="F18" s="296">
        <v>0</v>
      </c>
    </row>
    <row r="19" spans="1:6">
      <c r="A19" s="220"/>
      <c r="B19" s="221"/>
      <c r="C19" s="221"/>
      <c r="D19" s="220"/>
    </row>
    <row r="20" spans="1:6" ht="15">
      <c r="A20" s="229" t="s">
        <v>146</v>
      </c>
      <c r="B20" s="230"/>
      <c r="C20" s="230"/>
      <c r="D20" s="230"/>
      <c r="E20" s="230"/>
      <c r="F20" s="233"/>
    </row>
    <row r="21" spans="1:6">
      <c r="A21" s="210"/>
      <c r="B21" s="210"/>
      <c r="C21" s="210"/>
      <c r="D21" s="210"/>
    </row>
    <row r="22" spans="1:6" ht="26.4">
      <c r="A22" s="222" t="s">
        <v>47</v>
      </c>
      <c r="B22" s="223" t="s">
        <v>12</v>
      </c>
      <c r="C22" s="218"/>
      <c r="D22" s="219"/>
      <c r="E22" s="224" t="s">
        <v>108</v>
      </c>
      <c r="F22" s="225" t="s">
        <v>109</v>
      </c>
    </row>
    <row r="23" spans="1:6" ht="13.8">
      <c r="A23" s="208" t="s">
        <v>147</v>
      </c>
      <c r="B23" s="294" t="s">
        <v>18</v>
      </c>
      <c r="C23" s="295"/>
      <c r="D23" s="295"/>
      <c r="E23" s="296">
        <v>0</v>
      </c>
      <c r="F23" s="296">
        <v>0</v>
      </c>
    </row>
    <row r="24" spans="1:6" ht="13.8">
      <c r="A24" s="208" t="s">
        <v>148</v>
      </c>
      <c r="B24" s="294" t="s">
        <v>18</v>
      </c>
      <c r="C24" s="297"/>
      <c r="D24" s="297"/>
      <c r="E24" s="296">
        <v>0</v>
      </c>
      <c r="F24" s="296">
        <v>0</v>
      </c>
    </row>
    <row r="25" spans="1:6" ht="13.8">
      <c r="A25" s="208" t="s">
        <v>149</v>
      </c>
      <c r="B25" s="294" t="s">
        <v>18</v>
      </c>
      <c r="C25" s="298"/>
      <c r="D25" s="297"/>
      <c r="E25" s="296">
        <v>0</v>
      </c>
      <c r="F25" s="296">
        <v>0</v>
      </c>
    </row>
    <row r="26" spans="1:6" ht="13.8">
      <c r="A26" s="208" t="s">
        <v>190</v>
      </c>
      <c r="B26" s="294" t="s">
        <v>18</v>
      </c>
      <c r="C26" s="298"/>
      <c r="D26" s="297"/>
      <c r="E26" s="296">
        <v>0</v>
      </c>
      <c r="F26" s="296">
        <v>0</v>
      </c>
    </row>
    <row r="27" spans="1:6" ht="13.8">
      <c r="A27" s="208" t="s">
        <v>191</v>
      </c>
      <c r="B27" s="294" t="s">
        <v>18</v>
      </c>
      <c r="C27" s="298"/>
      <c r="D27" s="297"/>
      <c r="E27" s="296">
        <v>0</v>
      </c>
      <c r="F27" s="296">
        <v>0</v>
      </c>
    </row>
    <row r="29" spans="1:6" ht="13.8">
      <c r="A29" s="208" t="s">
        <v>607</v>
      </c>
      <c r="B29" s="454" t="s">
        <v>608</v>
      </c>
      <c r="C29" s="455"/>
      <c r="D29" s="456"/>
      <c r="E29" s="296">
        <v>0</v>
      </c>
      <c r="F29" s="296">
        <v>0</v>
      </c>
    </row>
    <row r="31" spans="1:6" ht="15">
      <c r="A31" s="229" t="s">
        <v>150</v>
      </c>
      <c r="B31" s="230"/>
      <c r="C31" s="230"/>
      <c r="D31" s="230"/>
      <c r="E31" s="230"/>
      <c r="F31" s="233"/>
    </row>
    <row r="32" spans="1:6" ht="13.8">
      <c r="A32" s="217"/>
      <c r="B32" s="209"/>
      <c r="C32" s="209"/>
      <c r="D32" s="202"/>
    </row>
    <row r="33" spans="1:6">
      <c r="A33" s="215" t="s">
        <v>47</v>
      </c>
      <c r="B33" s="213" t="s">
        <v>12</v>
      </c>
      <c r="C33" s="210"/>
      <c r="D33" s="210"/>
      <c r="E33" s="210"/>
      <c r="F33" s="226" t="s">
        <v>115</v>
      </c>
    </row>
    <row r="34" spans="1:6" ht="13.8">
      <c r="A34" s="208" t="s">
        <v>151</v>
      </c>
      <c r="B34" s="211" t="s">
        <v>116</v>
      </c>
      <c r="C34" s="211"/>
      <c r="D34" s="211"/>
      <c r="E34" s="211"/>
      <c r="F34" s="296">
        <v>0</v>
      </c>
    </row>
    <row r="35" spans="1:6" ht="13.8">
      <c r="A35" s="208" t="s">
        <v>151</v>
      </c>
      <c r="B35" s="211" t="s">
        <v>118</v>
      </c>
      <c r="C35" s="211"/>
      <c r="D35" s="211"/>
      <c r="E35" s="211"/>
      <c r="F35" s="296">
        <v>0</v>
      </c>
    </row>
    <row r="36" spans="1:6" ht="13.8">
      <c r="A36" s="208" t="s">
        <v>151</v>
      </c>
      <c r="B36" s="211" t="s">
        <v>117</v>
      </c>
      <c r="C36" s="211"/>
      <c r="D36" s="211"/>
      <c r="E36" s="211"/>
      <c r="F36" s="296">
        <v>0</v>
      </c>
    </row>
    <row r="37" spans="1:6" ht="13.8">
      <c r="A37" s="208" t="s">
        <v>132</v>
      </c>
      <c r="B37" s="211" t="s">
        <v>116</v>
      </c>
      <c r="C37" s="211"/>
      <c r="D37" s="211"/>
      <c r="E37" s="211"/>
      <c r="F37" s="296">
        <v>0</v>
      </c>
    </row>
    <row r="38" spans="1:6" s="17" customFormat="1"/>
    <row r="39" spans="1:6" s="17" customFormat="1" ht="15">
      <c r="A39" s="234" t="s">
        <v>155</v>
      </c>
      <c r="B39" s="233"/>
    </row>
    <row r="40" spans="1:6" s="17" customFormat="1">
      <c r="A40" s="215" t="s">
        <v>152</v>
      </c>
      <c r="B40" s="227" t="s">
        <v>115</v>
      </c>
    </row>
    <row r="41" spans="1:6" s="17" customFormat="1" ht="13.8">
      <c r="A41" s="208" t="s">
        <v>153</v>
      </c>
      <c r="B41" s="296">
        <v>0</v>
      </c>
    </row>
    <row r="42" spans="1:6" s="17" customFormat="1" ht="13.8">
      <c r="A42" s="208" t="s">
        <v>154</v>
      </c>
      <c r="B42" s="296">
        <v>0</v>
      </c>
    </row>
    <row r="43" spans="1:6" s="17" customFormat="1">
      <c r="A43" s="209"/>
      <c r="B43" s="209"/>
    </row>
    <row r="44" spans="1:6" ht="15">
      <c r="A44" s="228" t="s">
        <v>2</v>
      </c>
      <c r="B44" s="202"/>
      <c r="C44" s="202"/>
      <c r="D44" s="209"/>
    </row>
    <row r="45" spans="1:6">
      <c r="A45" s="209" t="s">
        <v>36</v>
      </c>
    </row>
    <row r="46" spans="1:6" ht="13.8">
      <c r="A46" s="209" t="s">
        <v>156</v>
      </c>
      <c r="B46" s="202"/>
      <c r="C46" s="202"/>
      <c r="D46" s="209"/>
    </row>
    <row r="47" spans="1:6" ht="12.75" customHeight="1">
      <c r="A47" s="209"/>
      <c r="B47" s="202"/>
      <c r="C47" s="202"/>
      <c r="D47" s="209"/>
    </row>
    <row r="48" spans="1:6" ht="13.8">
      <c r="A48" s="209"/>
      <c r="B48" s="202"/>
      <c r="C48" s="202"/>
      <c r="D48" s="209"/>
    </row>
    <row r="49" spans="1:4" ht="13.8">
      <c r="A49" s="209"/>
      <c r="B49" s="202"/>
      <c r="C49" s="202"/>
      <c r="D49" s="209"/>
    </row>
    <row r="51" spans="1:4" ht="13.8">
      <c r="A51" s="212"/>
      <c r="B51" s="202"/>
      <c r="C51" s="202"/>
      <c r="D51" s="202"/>
    </row>
    <row r="52" spans="1:4">
      <c r="A52" s="212"/>
    </row>
    <row r="53" spans="1:4">
      <c r="A53" s="212"/>
    </row>
    <row r="54" spans="1:4">
      <c r="A54" s="212"/>
    </row>
  </sheetData>
  <mergeCells count="1">
    <mergeCell ref="C12:F12"/>
  </mergeCells>
  <phoneticPr fontId="13"/>
  <conditionalFormatting sqref="E19:F27 B41:B42">
    <cfRule type="cellIs" dxfId="2" priority="3" stopIfTrue="1" operator="equal">
      <formula>"nvt"</formula>
    </cfRule>
  </conditionalFormatting>
  <conditionalFormatting sqref="E29:F29">
    <cfRule type="cellIs" dxfId="1" priority="1" stopIfTrue="1" operator="equal">
      <formula>"nvt"</formula>
    </cfRule>
  </conditionalFormatting>
  <conditionalFormatting sqref="F34:F37">
    <cfRule type="cellIs" dxfId="0" priority="1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79E44F-4F01-43F7-855D-9A7B1632C315}">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FC9F4850-24C5-4440-8979-3FAD3DE90440}">
  <ds:schemaRefs>
    <ds:schemaRef ds:uri="http://schemas.microsoft.com/sharepoint/v3/contenttype/forms"/>
  </ds:schemaRefs>
</ds:datastoreItem>
</file>

<file path=customXml/itemProps3.xml><?xml version="1.0" encoding="utf-8"?>
<ds:datastoreItem xmlns:ds="http://schemas.openxmlformats.org/officeDocument/2006/customXml" ds:itemID="{11F2A914-5D76-45A1-9D02-DD542B1825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17</vt:i4>
      </vt:variant>
    </vt:vector>
  </HeadingPairs>
  <TitlesOfParts>
    <vt:vector size="28"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11-Sanitaire voorzieningen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'11-Sanitaire voorzieningen'!Afdruktitels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2023-10-23T11:55:05Z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