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ingenionnl.sharepoint.com/sites/SP-Projecten/Shared Documents/OPOA/EA MFP (2023)/Gepubliceerd/"/>
    </mc:Choice>
  </mc:AlternateContent>
  <xr:revisionPtr revIDLastSave="0" documentId="8_{0960C207-2ABC-4A94-BE67-CFD4F5C310E5}" xr6:coauthVersionLast="47" xr6:coauthVersionMax="47" xr10:uidLastSave="{00000000-0000-0000-0000-000000000000}"/>
  <bookViews>
    <workbookView xWindow="-28920" yWindow="-60" windowWidth="29040" windowHeight="15720" activeTab="1" xr2:uid="{5388CAA8-65CB-4AAB-BEFF-7D99F3197186}"/>
  </bookViews>
  <sheets>
    <sheet name="Toelichting" sheetId="2" r:id="rId1"/>
    <sheet name="Viadere" sheetId="1" r:id="rId2"/>
  </sheets>
  <definedNames>
    <definedName name="_xlnm.Print_Area" localSheetId="0">Toelichting!$A$1:$C$9</definedName>
    <definedName name="_xlnm.Print_Area" localSheetId="1">Viadere!$A$1:$O$74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 i="1" l="1"/>
  <c r="Q5" i="1"/>
  <c r="Q6" i="1"/>
  <c r="Q9" i="1"/>
  <c r="Q11" i="1"/>
  <c r="Q14" i="1"/>
  <c r="Q17" i="1"/>
  <c r="Q19" i="1"/>
  <c r="Q20" i="1"/>
  <c r="Q21" i="1"/>
  <c r="Q22" i="1"/>
  <c r="Q23" i="1"/>
  <c r="Q24" i="1"/>
  <c r="Q26" i="1"/>
  <c r="Q27" i="1"/>
  <c r="Q28" i="1"/>
  <c r="Q30" i="1"/>
  <c r="P3" i="1"/>
  <c r="P5" i="1"/>
  <c r="P9" i="1"/>
  <c r="P11" i="1"/>
  <c r="P13" i="1"/>
  <c r="P17" i="1"/>
  <c r="P19" i="1"/>
  <c r="P21" i="1"/>
  <c r="P23" i="1"/>
  <c r="P24" i="1"/>
  <c r="P25" i="1"/>
  <c r="P26" i="1"/>
  <c r="P27" i="1"/>
  <c r="P28" i="1"/>
  <c r="P30" i="1"/>
  <c r="O3" i="1"/>
  <c r="O4" i="1"/>
  <c r="O5" i="1"/>
  <c r="O6" i="1"/>
  <c r="O7" i="1"/>
  <c r="O8" i="1"/>
  <c r="O10" i="1"/>
  <c r="O12" i="1"/>
  <c r="O13" i="1"/>
  <c r="O14" i="1"/>
  <c r="O15" i="1"/>
  <c r="O16" i="1"/>
  <c r="O18" i="1"/>
  <c r="O20" i="1"/>
  <c r="O22" i="1"/>
  <c r="O23" i="1"/>
  <c r="O24" i="1"/>
  <c r="O25" i="1"/>
  <c r="O29" i="1"/>
  <c r="O31" i="1"/>
  <c r="N3" i="1"/>
  <c r="N31" i="1"/>
  <c r="N29" i="1"/>
  <c r="N25" i="1"/>
  <c r="N24" i="1"/>
  <c r="N22" i="1"/>
  <c r="N20" i="1"/>
  <c r="N18" i="1"/>
  <c r="N16" i="1"/>
  <c r="N15" i="1"/>
  <c r="N14" i="1"/>
  <c r="N13" i="1"/>
  <c r="N12" i="1"/>
  <c r="N11" i="1"/>
  <c r="N10" i="1"/>
  <c r="N9" i="1"/>
  <c r="R9" i="1" s="1"/>
  <c r="N8" i="1"/>
  <c r="N7" i="1"/>
  <c r="N6" i="1"/>
  <c r="N4" i="1"/>
  <c r="J10" i="1"/>
  <c r="L10" i="1" s="1"/>
  <c r="Q10" i="1" s="1"/>
  <c r="U10" i="1" s="1"/>
  <c r="J9" i="1"/>
  <c r="L9" i="1" s="1"/>
  <c r="O9" i="1" s="1"/>
  <c r="S9" i="1" s="1"/>
  <c r="I10" i="1"/>
  <c r="K10" i="1" s="1"/>
  <c r="P10" i="1" s="1"/>
  <c r="T10" i="1" s="1"/>
  <c r="I9" i="1"/>
  <c r="K9" i="1" s="1"/>
  <c r="T9" i="1"/>
  <c r="U9" i="1"/>
  <c r="J17" i="1"/>
  <c r="L17" i="1" s="1"/>
  <c r="O17" i="1" s="1"/>
  <c r="S17" i="1" s="1"/>
  <c r="J18" i="1"/>
  <c r="I18" i="1"/>
  <c r="K18" i="1" s="1"/>
  <c r="P18" i="1" s="1"/>
  <c r="T18" i="1" s="1"/>
  <c r="I17" i="1"/>
  <c r="K17" i="1" s="1"/>
  <c r="N17" i="1" s="1"/>
  <c r="R17" i="1" s="1"/>
  <c r="U17" i="1"/>
  <c r="T17" i="1"/>
  <c r="J22" i="1"/>
  <c r="J21" i="1"/>
  <c r="L21" i="1" s="1"/>
  <c r="I21" i="1"/>
  <c r="K21" i="1" s="1"/>
  <c r="N21" i="1" s="1"/>
  <c r="I22" i="1"/>
  <c r="K22" i="1" s="1"/>
  <c r="P22" i="1" s="1"/>
  <c r="U21" i="1"/>
  <c r="T21" i="1"/>
  <c r="I24" i="1"/>
  <c r="K24" i="1" s="1"/>
  <c r="I25" i="1"/>
  <c r="K25" i="1" s="1"/>
  <c r="J23" i="1"/>
  <c r="L23" i="1" s="1"/>
  <c r="J24" i="1"/>
  <c r="L24" i="1" s="1"/>
  <c r="J25" i="1"/>
  <c r="L25" i="1" s="1"/>
  <c r="T24" i="1"/>
  <c r="U24" i="1"/>
  <c r="U23" i="1"/>
  <c r="T23" i="1"/>
  <c r="K23" i="1"/>
  <c r="N23" i="1" s="1"/>
  <c r="K4" i="1"/>
  <c r="P4" i="1" s="1"/>
  <c r="K5" i="1"/>
  <c r="N5" i="1" s="1"/>
  <c r="K6" i="1"/>
  <c r="P6" i="1" s="1"/>
  <c r="K7" i="1"/>
  <c r="P7" i="1" s="1"/>
  <c r="K8" i="1"/>
  <c r="P8" i="1" s="1"/>
  <c r="K11" i="1"/>
  <c r="K12" i="1"/>
  <c r="P12" i="1" s="1"/>
  <c r="K13" i="1"/>
  <c r="K14" i="1"/>
  <c r="P14" i="1" s="1"/>
  <c r="K15" i="1"/>
  <c r="P15" i="1" s="1"/>
  <c r="K16" i="1"/>
  <c r="P16" i="1" s="1"/>
  <c r="K19" i="1"/>
  <c r="N19" i="1" s="1"/>
  <c r="K20" i="1"/>
  <c r="P20" i="1" s="1"/>
  <c r="K26" i="1"/>
  <c r="N26" i="1" s="1"/>
  <c r="K27" i="1"/>
  <c r="N27" i="1" s="1"/>
  <c r="K28" i="1"/>
  <c r="N28" i="1" s="1"/>
  <c r="K30" i="1"/>
  <c r="N30" i="1" s="1"/>
  <c r="K31" i="1"/>
  <c r="P31" i="1" s="1"/>
  <c r="I29" i="1"/>
  <c r="K29" i="1" s="1"/>
  <c r="P29" i="1" s="1"/>
  <c r="J29" i="1"/>
  <c r="L29" i="1" s="1"/>
  <c r="U28" i="1"/>
  <c r="T28" i="1"/>
  <c r="L28" i="1"/>
  <c r="O28" i="1" s="1"/>
  <c r="U3" i="1"/>
  <c r="U5" i="1"/>
  <c r="U11" i="1"/>
  <c r="U19" i="1"/>
  <c r="U26" i="1"/>
  <c r="U27" i="1"/>
  <c r="U30" i="1"/>
  <c r="T3" i="1"/>
  <c r="T5" i="1"/>
  <c r="T11" i="1"/>
  <c r="T19" i="1"/>
  <c r="T26" i="1"/>
  <c r="T27" i="1"/>
  <c r="T30" i="1"/>
  <c r="S3" i="1"/>
  <c r="S4" i="1"/>
  <c r="S6" i="1"/>
  <c r="S7" i="1"/>
  <c r="S8" i="1"/>
  <c r="S12" i="1"/>
  <c r="S13" i="1"/>
  <c r="S14" i="1"/>
  <c r="S15" i="1"/>
  <c r="S16" i="1"/>
  <c r="S20" i="1"/>
  <c r="S31" i="1"/>
  <c r="R3" i="1"/>
  <c r="R4" i="1"/>
  <c r="R6" i="1"/>
  <c r="R7" i="1"/>
  <c r="R8" i="1"/>
  <c r="R12" i="1"/>
  <c r="R13" i="1"/>
  <c r="R14" i="1"/>
  <c r="R15" i="1"/>
  <c r="R16" i="1"/>
  <c r="R20" i="1"/>
  <c r="R31" i="1"/>
  <c r="S29" i="1"/>
  <c r="S25" i="1"/>
  <c r="S22" i="1"/>
  <c r="S18" i="1"/>
  <c r="S5" i="1"/>
  <c r="S10" i="1"/>
  <c r="L22" i="1"/>
  <c r="L18" i="1"/>
  <c r="Q18" i="1" s="1"/>
  <c r="U18" i="1" s="1"/>
  <c r="L4" i="1"/>
  <c r="Q4" i="1" s="1"/>
  <c r="L5" i="1"/>
  <c r="L6" i="1"/>
  <c r="L7" i="1"/>
  <c r="Q7" i="1" s="1"/>
  <c r="L8" i="1"/>
  <c r="Q8" i="1" s="1"/>
  <c r="L11" i="1"/>
  <c r="O11" i="1" s="1"/>
  <c r="S11" i="1" s="1"/>
  <c r="L12" i="1"/>
  <c r="Q12" i="1" s="1"/>
  <c r="L13" i="1"/>
  <c r="Q13" i="1" s="1"/>
  <c r="L14" i="1"/>
  <c r="L15" i="1"/>
  <c r="Q15" i="1" s="1"/>
  <c r="L16" i="1"/>
  <c r="Q16" i="1" s="1"/>
  <c r="L19" i="1"/>
  <c r="O19" i="1" s="1"/>
  <c r="S19" i="1" s="1"/>
  <c r="L20" i="1"/>
  <c r="L26" i="1"/>
  <c r="O26" i="1" s="1"/>
  <c r="L27" i="1"/>
  <c r="L30" i="1"/>
  <c r="O30" i="1" s="1"/>
  <c r="S30" i="1" s="1"/>
  <c r="L31" i="1"/>
  <c r="Q31" i="1" s="1"/>
  <c r="Q25" i="1" l="1"/>
  <c r="U25" i="1" s="1"/>
  <c r="S23" i="1"/>
  <c r="U22" i="1"/>
  <c r="O21" i="1"/>
  <c r="S21" i="1" s="1"/>
  <c r="R24" i="1"/>
  <c r="P32" i="1"/>
  <c r="T22" i="1"/>
  <c r="Q29" i="1"/>
  <c r="Q32" i="1" s="1"/>
  <c r="T25" i="1"/>
  <c r="T29" i="1"/>
  <c r="S26" i="1"/>
  <c r="S24" i="1"/>
  <c r="O27" i="1"/>
  <c r="S27" i="1" s="1"/>
  <c r="R23" i="1"/>
  <c r="R21" i="1"/>
  <c r="R28" i="1"/>
  <c r="S28" i="1"/>
  <c r="J32" i="1"/>
  <c r="I32" i="1"/>
  <c r="K32" i="1"/>
  <c r="L32" i="1"/>
  <c r="U29" i="1" l="1"/>
  <c r="G32" i="1"/>
  <c r="T20" i="1"/>
  <c r="U20" i="1"/>
  <c r="T16" i="1"/>
  <c r="U16" i="1"/>
  <c r="I63" i="1" l="1"/>
  <c r="J63" i="1" s="1"/>
  <c r="H63" i="1"/>
  <c r="F32" i="1"/>
  <c r="I66" i="1" l="1"/>
  <c r="H66" i="1"/>
  <c r="G66" i="1"/>
  <c r="F66" i="1"/>
  <c r="I62" i="1"/>
  <c r="J62" i="1" s="1"/>
  <c r="H62" i="1"/>
  <c r="U14" i="1"/>
  <c r="T13" i="1"/>
  <c r="T14" i="1"/>
  <c r="T6" i="1"/>
  <c r="J66" i="1" l="1"/>
  <c r="U7" i="1"/>
  <c r="T7" i="1"/>
  <c r="U6" i="1"/>
  <c r="U8" i="1"/>
  <c r="T8" i="1"/>
  <c r="U13" i="1"/>
  <c r="M35" i="1" l="1"/>
  <c r="K35" i="1"/>
  <c r="T12" i="1" l="1"/>
  <c r="U12" i="1"/>
  <c r="U4" i="1"/>
  <c r="T4" i="1"/>
  <c r="T31" i="1" l="1"/>
  <c r="U31" i="1"/>
  <c r="J67" i="1" l="1"/>
  <c r="J68" i="1"/>
  <c r="G62" i="1" l="1"/>
  <c r="S32" i="1"/>
  <c r="O32" i="1"/>
  <c r="T15" i="1" l="1"/>
  <c r="T32" i="1" s="1"/>
  <c r="U15" i="1"/>
  <c r="U32" i="1" s="1"/>
  <c r="M36" i="1" l="1"/>
  <c r="Q34" i="1"/>
  <c r="N36" i="1"/>
  <c r="G65" i="1" s="1"/>
  <c r="G63" i="1"/>
  <c r="F63" i="1"/>
  <c r="I65" i="1" l="1"/>
  <c r="H65" i="1"/>
  <c r="F65" i="1" l="1"/>
  <c r="F62" i="1"/>
  <c r="J65" i="1" l="1"/>
  <c r="R26" i="1"/>
  <c r="R29" i="1"/>
  <c r="R11" i="1"/>
  <c r="R10" i="1"/>
  <c r="R22" i="1"/>
  <c r="R25" i="1"/>
  <c r="R19" i="1"/>
  <c r="R30" i="1"/>
  <c r="R18" i="1"/>
  <c r="R27" i="1"/>
  <c r="N32" i="1"/>
  <c r="R5" i="1"/>
  <c r="K36" i="1" l="1"/>
  <c r="F64" i="1" s="1"/>
  <c r="P34" i="1"/>
  <c r="R32" i="1"/>
  <c r="L36" i="1" s="1"/>
  <c r="H64" i="1" s="1"/>
  <c r="I64" i="1" l="1"/>
  <c r="G64" i="1"/>
  <c r="J64" i="1" l="1"/>
  <c r="J70" i="1" s="1"/>
</calcChain>
</file>

<file path=xl/sharedStrings.xml><?xml version="1.0" encoding="utf-8"?>
<sst xmlns="http://schemas.openxmlformats.org/spreadsheetml/2006/main" count="237" uniqueCount="156">
  <si>
    <t>Naam school</t>
  </si>
  <si>
    <t>Adres</t>
  </si>
  <si>
    <t>Plaats</t>
  </si>
  <si>
    <t>Totaal</t>
  </si>
  <si>
    <t>Zw/w p/m</t>
  </si>
  <si>
    <t>kleur p/m</t>
  </si>
  <si>
    <t>Datum in gebruikname</t>
  </si>
  <si>
    <t>Zw/w p/j</t>
  </si>
  <si>
    <t>Kleur p/j</t>
  </si>
  <si>
    <t>Aantal maanden</t>
  </si>
  <si>
    <t>Afdrukprijs kleur</t>
  </si>
  <si>
    <t>Eenmalige implementatiekosten (uitrol)</t>
  </si>
  <si>
    <t>Eenmalige implementatiekosten (instructie en training)</t>
  </si>
  <si>
    <t xml:space="preserve"> (optioneel, telt niet mee in totaalprijs)</t>
  </si>
  <si>
    <r>
      <t>Meerprijs verhuizing</t>
    </r>
    <r>
      <rPr>
        <vertAlign val="superscript"/>
        <sz val="11"/>
        <rFont val="Calibri"/>
        <family val="2"/>
        <scheme val="minor"/>
      </rPr>
      <t>3</t>
    </r>
    <r>
      <rPr>
        <sz val="11"/>
        <rFont val="Calibri"/>
        <family val="2"/>
        <scheme val="minor"/>
      </rPr>
      <t xml:space="preserve"> van een MFP per keer </t>
    </r>
  </si>
  <si>
    <t>Totaalprijs</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</si>
  <si>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</si>
  <si>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</si>
  <si>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</si>
  <si>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</si>
  <si>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</si>
  <si>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</si>
  <si>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</si>
  <si>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Eerste 48 maanden</t>
  </si>
  <si>
    <t>Afdrukprijs zwart/wit</t>
  </si>
  <si>
    <t>Aantal afdrukken</t>
  </si>
  <si>
    <t>Model 1
(eis M1 t/m M27)</t>
  </si>
  <si>
    <t>Model 2
(eis M1 t/m M27)</t>
  </si>
  <si>
    <t>Aantal zw/w afdrukken per optiejaar M1</t>
  </si>
  <si>
    <t>Aantal kleur afdrukken per optiejaar M1</t>
  </si>
  <si>
    <t>Aantal zw/w afdrukken per optiejaar M2</t>
  </si>
  <si>
    <t>Aantal kleur afdrukken per optiejaar M2</t>
  </si>
  <si>
    <t xml:space="preserve">Onderaan het tabblad "Prijzenblad" staan enkele voetnoten vermeld. Deze verschaffen de Inschrijver extra informatie over de op te geven prijzen. Elke Inschrijver wordt geadviseerd hier grondig kennis van te nemen.
</t>
  </si>
  <si>
    <t>Totaal model 2: Leaseprijs alle machines</t>
  </si>
  <si>
    <t>Totaal model 1: Leaseprijs alle machines</t>
  </si>
  <si>
    <t>Afdrukken kleur</t>
  </si>
  <si>
    <t>Subtotaal</t>
  </si>
  <si>
    <t>Omschrijving</t>
  </si>
  <si>
    <t>zwart/wit per optiejaar</t>
  </si>
  <si>
    <t>kleur per optiejaar</t>
  </si>
  <si>
    <t>Meerprijs perforatie unit (2-gaats) model 1 per MFP per maand</t>
  </si>
  <si>
    <t>Meerprijs perforatie unit (2-gaats) model 2 per MFP per maand</t>
  </si>
  <si>
    <t>Meerprijs niet/vouw finisher (bookletmaker³) model 1 per MFP per maand</t>
  </si>
  <si>
    <t>Meerprijs niet/vouw finisher (bookletmaker³) model 2 per MFP per maand</t>
  </si>
  <si>
    <t>Meerprijs externe finisher bij model 1 per MFP per maand</t>
  </si>
  <si>
    <t>Meerprijs externe finisher bij model 2 per MFP per maand</t>
  </si>
  <si>
    <t>Bulklade bij model 1 in plaats van lade 3 + 4 per MFP per maand</t>
  </si>
  <si>
    <t>Bulklade bij model 2 in plaats van lade 3 + 4 per MFP per maand</t>
  </si>
  <si>
    <r>
      <rPr>
        <vertAlign val="superscript"/>
        <sz val="10"/>
        <color theme="1"/>
        <rFont val="Calibri"/>
        <family val="2"/>
        <scheme val="minor"/>
      </rPr>
      <t>1</t>
    </r>
    <r>
      <rPr>
        <sz val="10"/>
        <color theme="1"/>
        <rFont val="Calibri Light"/>
        <family val="2"/>
      </rPr>
      <t xml:space="preserve"> De opgegeven prijzen dienen te voldoen aan de eisen zoals gesteld in de Uitnodiging tot Inschrijving.</t>
    </r>
  </si>
  <si>
    <r>
      <rPr>
        <vertAlign val="superscript"/>
        <sz val="10"/>
        <color theme="1"/>
        <rFont val="Calibri"/>
        <family val="2"/>
        <scheme val="minor"/>
      </rPr>
      <t xml:space="preserve">3 </t>
    </r>
    <r>
      <rPr>
        <sz val="10"/>
        <color theme="1"/>
        <rFont val="Calibri Light"/>
        <family val="2"/>
      </rPr>
      <t>Het betreft een functie waarbij een A4 vel gevouwen wordt en een nietje in de rug van gevouwen boekje wordt geplaatst. De opgegeven prijs is de meerprijs ten opzichte van de standaardfinisher die is uitgevraagd in de Uitnodiging tot Inschrijving.</t>
    </r>
  </si>
  <si>
    <t>Totale implementatiekosten (éénmalig)</t>
  </si>
  <si>
    <t>Uitrol</t>
  </si>
  <si>
    <t>Instructie en training</t>
  </si>
  <si>
    <t>Voor alle Locaties (dus alle MFP's), later op factuur te specificeren per Locatie</t>
  </si>
  <si>
    <t>Almelo</t>
  </si>
  <si>
    <t># zw/w afdrukken M1</t>
  </si>
  <si>
    <t># kleur afdrukken M1</t>
  </si>
  <si>
    <t># zw/w afdrukken M2</t>
  </si>
  <si>
    <t># kleur afdrukken M2</t>
  </si>
  <si>
    <t xml:space="preserve">einnddatum nieuwe overeenkomst </t>
  </si>
  <si>
    <t xml:space="preserve"> 1.632 </t>
  </si>
  <si>
    <t>Afdrukprijs per Afdruk voor zwart/wit en kleur Model 1 en 2</t>
  </si>
  <si>
    <t>Model 1 en 2</t>
  </si>
  <si>
    <t>Afdrukkosten zwart/wit model 1 en 2</t>
  </si>
  <si>
    <r>
      <t>De opgegeven prijzen zijn in overeenstemming met het gestelde in de Uitnodiging to</t>
    </r>
    <r>
      <rPr>
        <sz val="11"/>
        <rFont val="Calibri"/>
        <family val="2"/>
        <scheme val="minor"/>
      </rPr>
      <t xml:space="preserve">t Inschrijving </t>
    </r>
    <r>
      <rPr>
        <sz val="11"/>
        <color theme="1"/>
        <rFont val="Calibri Light"/>
        <family val="2"/>
      </rPr>
      <t xml:space="preserve">en de bijlagen (waaronder maar niet beperkt tot het Programma van Eisen). 
</t>
    </r>
  </si>
  <si>
    <t xml:space="preserve">De groene cellen van alle tabbladen dienen te worden ingevuld. Bovenin ieder tabblad kan het merk + type/model worden aangegeven. Alleen een bedrag (in cijfers) mag worden ingevuld. Een negatief bedrag is niet toegestaan. De opgegeven prijzen dienen reëel en waar te maken zijn.
</t>
  </si>
  <si>
    <t xml:space="preserve">De aantallen en keuze van de Apparatuur per Locatie kunnen na de gunning nog worden aangepast. Deze inventarisatie is gebaseerd op het huidige verbruik en behoefte.
</t>
  </si>
  <si>
    <t>Postcode</t>
  </si>
  <si>
    <t>Locatie</t>
  </si>
  <si>
    <t>Rotsduif</t>
  </si>
  <si>
    <t>De Rotsduif 26</t>
  </si>
  <si>
    <t xml:space="preserve">7609 VK </t>
  </si>
  <si>
    <t>Toorop</t>
  </si>
  <si>
    <t>Jan Tooropstraat 47</t>
  </si>
  <si>
    <t>7606 JS</t>
  </si>
  <si>
    <t xml:space="preserve">OBS de Kubus </t>
  </si>
  <si>
    <t>Hoornbladstraat 35</t>
  </si>
  <si>
    <t>7601 SZ</t>
  </si>
  <si>
    <t>OBS het Letterveld</t>
  </si>
  <si>
    <t>Het Palet</t>
  </si>
  <si>
    <t>OBS de Stapvoorde</t>
  </si>
  <si>
    <t>OBS Step!</t>
  </si>
  <si>
    <t>OBS de Weier</t>
  </si>
  <si>
    <t>OBS  de Weier</t>
  </si>
  <si>
    <t>OBS de Windhoek</t>
  </si>
  <si>
    <t>Vissedijk</t>
  </si>
  <si>
    <t>Haghoek</t>
  </si>
  <si>
    <t>Windslaan</t>
  </si>
  <si>
    <t>Hedeveld 3</t>
  </si>
  <si>
    <t>Catharina van Renneslaan 128</t>
  </si>
  <si>
    <t>De Kolibrie 24</t>
  </si>
  <si>
    <t>Jacob van Campenstraat 2</t>
  </si>
  <si>
    <t>Havezathe 97</t>
  </si>
  <si>
    <t>Vissedijk 35c</t>
  </si>
  <si>
    <t>7608 CL</t>
  </si>
  <si>
    <t>Windslaan 14</t>
  </si>
  <si>
    <t>Haghoekweg 39</t>
  </si>
  <si>
    <t>7603 TK</t>
  </si>
  <si>
    <t>7604 KV</t>
  </si>
  <si>
    <t>7609 GP</t>
  </si>
  <si>
    <t>7606 TW</t>
  </si>
  <si>
    <t>7602 CP</t>
  </si>
  <si>
    <t>7607 PB</t>
  </si>
  <si>
    <t>De Heemde</t>
  </si>
  <si>
    <t>Hanzelaan 2</t>
  </si>
  <si>
    <t>7607 NM</t>
  </si>
  <si>
    <t>De Huve</t>
  </si>
  <si>
    <t>De Kolibrie 22</t>
  </si>
  <si>
    <t>De Mare</t>
  </si>
  <si>
    <t>De Rotsduif 22</t>
  </si>
  <si>
    <t>7609 VK</t>
  </si>
  <si>
    <t>De Wierde</t>
  </si>
  <si>
    <t>Hoofdlocatie</t>
  </si>
  <si>
    <t>Suze Robertsonlaan 2</t>
  </si>
  <si>
    <t>7606 HZ</t>
  </si>
  <si>
    <t>Nevenlocatie</t>
  </si>
  <si>
    <t>Willem de Clercqstraat 23</t>
  </si>
  <si>
    <t>7604 AR </t>
  </si>
  <si>
    <t xml:space="preserve">De Zegge </t>
  </si>
  <si>
    <t>Aalderinkshoek</t>
  </si>
  <si>
    <t>Apollolaan 1c</t>
  </si>
  <si>
    <t>7604 EH</t>
  </si>
  <si>
    <t>Het Laar</t>
  </si>
  <si>
    <t>Eikenlaan 3</t>
  </si>
  <si>
    <t xml:space="preserve">7642 GA </t>
  </si>
  <si>
    <t>Wierden</t>
  </si>
  <si>
    <t>Telgenborch</t>
  </si>
  <si>
    <t>Erverlo 12</t>
  </si>
  <si>
    <t>7608 BW</t>
  </si>
  <si>
    <t>Licentie en maintenance kosten voor Standaard Software</t>
  </si>
  <si>
    <t>Optiejaar 2</t>
  </si>
  <si>
    <t>Optiejaar 3</t>
  </si>
  <si>
    <t>Optiejaar 1</t>
  </si>
  <si>
    <t xml:space="preserve">OBS de Bonkelaar </t>
  </si>
  <si>
    <t xml:space="preserve">Almelo </t>
  </si>
  <si>
    <t>Keizersdijk</t>
  </si>
  <si>
    <t>Keizersdijk 25</t>
  </si>
  <si>
    <t>7462 JB</t>
  </si>
  <si>
    <t>Rijssen</t>
  </si>
  <si>
    <t>OBS de Tandem</t>
  </si>
  <si>
    <t xml:space="preserve">7607 PB </t>
  </si>
  <si>
    <t>Bestuurskantoor</t>
  </si>
  <si>
    <t>Sluiskade Zuid Zijde 187</t>
  </si>
  <si>
    <t>7607 XT</t>
  </si>
  <si>
    <t>Naam /model</t>
  </si>
  <si>
    <t>Meerprijs verhuizing² van een MFP (Eis C9) per keer</t>
  </si>
  <si>
    <r>
      <rPr>
        <vertAlign val="superscript"/>
        <sz val="10"/>
        <color theme="1"/>
        <rFont val="Calibri"/>
        <family val="2"/>
        <scheme val="minor"/>
      </rPr>
      <t xml:space="preserve">2 </t>
    </r>
    <r>
      <rPr>
        <sz val="10"/>
        <color theme="1"/>
        <rFont val="Calibri Light"/>
        <family val="2"/>
      </rPr>
      <t xml:space="preserve">Het gaat hierbij om een verhuizing tussen Locaties van de Opdrachtgever bovenop het aantal verhuizingen genoemd (4 stuks) in de Uitnodiging tot Inschrijving. Het apparaat wordt ontkoppeld verplaatst en opnieuw aangesloten, gereed voor gebruik. </t>
    </r>
  </si>
  <si>
    <r>
      <rPr>
        <b/>
        <sz val="11"/>
        <color rgb="FFFF0000"/>
        <rFont val="Calibri Light"/>
        <family val="2"/>
      </rPr>
      <t>Opties</t>
    </r>
    <r>
      <rPr>
        <b/>
        <sz val="11"/>
        <color theme="1"/>
        <rFont val="Calibri Light"/>
        <family val="2"/>
      </rPr>
      <t xml:space="preserve"> model 1 en 2</t>
    </r>
  </si>
  <si>
    <t>Standaard Software per model 1 en 2 per maand (Eis S1 t/m S13))</t>
  </si>
  <si>
    <t>Standaard Software per model 1 en 2 (Eis S1 t/m S13))</t>
  </si>
  <si>
    <t xml:space="preserve">De licht roze cellen op alle tabbladen dienen te worden ingevuld. Alleen een bedrag (in cijfers) mag worden ingevuld. Een negatief bedrag is niet toegestaan. De opgegeven prijzen dienen reëel en waar te maken zijn. Deze bedragen worden niet meegerekend in de Totaalprijs. Viadere kan te zijner tijd besluiten of zij gebruik wenst te maken van de hier opgegeven opties. De prijs is net als de huurprijzen vast gedurende de looptijd van de Overeenkomst.
</t>
  </si>
  <si>
    <t>De vaste huurprijs (hardware)</t>
  </si>
  <si>
    <r>
      <t xml:space="preserve"> Huurprijs</t>
    </r>
    <r>
      <rPr>
        <vertAlign val="superscript"/>
        <sz val="11"/>
        <color theme="1"/>
        <rFont val="Calibri Light"/>
        <family val="2"/>
      </rPr>
      <t>1</t>
    </r>
    <r>
      <rPr>
        <sz val="11"/>
        <color theme="1"/>
        <rFont val="Calibri Light"/>
        <family val="2"/>
      </rPr>
      <t xml:space="preserve"> per MFP model 1 per maand </t>
    </r>
  </si>
  <si>
    <r>
      <t>Huurprijs</t>
    </r>
    <r>
      <rPr>
        <vertAlign val="superscript"/>
        <sz val="11"/>
        <color theme="1"/>
        <rFont val="Calibri Light"/>
        <family val="2"/>
      </rPr>
      <t>1</t>
    </r>
    <r>
      <rPr>
        <sz val="11"/>
        <color theme="1"/>
        <rFont val="Calibri Light"/>
        <family val="2"/>
      </rPr>
      <t xml:space="preserve"> per MFP model 2 per maand </t>
    </r>
  </si>
  <si>
    <t>Deze prijs kan volgens het bepaalde in de Overeenkomst worden geïndexeerd, i.t.t. de overige prijzen</t>
  </si>
  <si>
    <t>Individuele gebruikersspecificatie (voor alle Gebruikers bij Viadere) per 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</si>
</sst>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413]\ * #,##0.00_ ;_ [$€-413]\ * \-#,##0.00_ ;_ [$€-413]\ * &quot;-&quot;??_ ;_ @_ "/>
    <numFmt numFmtId="167" formatCode="_ [$€-2]\ * #,##0.00_ ;_ [$€-2]\ * \-#,##0.00_ ;_ [$€-2]\ * &quot;-&quot;??_ ;_ @_ "/>
    <numFmt numFmtId="168" formatCode="&quot;zw/w tot&quot;\ d/m/yyyy"/>
    <numFmt numFmtId="169" formatCode="&quot;tot&quot;\ d/m/yyyy"/>
    <numFmt numFmtId="170" formatCode="&quot;kleur tot&quot;\ d/m/yyyy"/>
  </numFmts>
  <fonts count="24" x14ac:knownFonts="1">
    <font>
      <sz val="11"/>
      <color theme="1"/>
      <name val="Calibri Light"/>
      <family val="2"/>
    </font>
    <font>
      <sz val="11"/>
      <color theme="1"/>
      <name val="Calibri Light"/>
      <family val="2"/>
    </font>
    <font>
      <sz val="8"/>
      <name val="Calibri Light"/>
      <family val="2"/>
    </font>
    <font>
      <sz val="11"/>
      <name val="Calibri Light"/>
      <family val="2"/>
    </font>
    <font>
      <b/>
      <sz val="11"/>
      <color theme="1"/>
      <name val="Calibri Light"/>
      <family val="2"/>
    </font>
    <font>
      <sz val="10"/>
      <color theme="1"/>
      <name val="Calibri Light"/>
      <family val="2"/>
    </font>
    <font>
      <vertAlign val="superscript"/>
      <sz val="11"/>
      <name val="Calibri"/>
      <family val="2"/>
      <scheme val="minor"/>
    </font>
    <font>
      <sz val="11"/>
      <name val="Calibri"/>
      <family val="2"/>
      <scheme val="minor"/>
    </font>
    <font>
      <sz val="18"/>
      <color theme="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b/>
      <sz val="16"/>
      <name val="Calibri"/>
      <family val="2"/>
      <scheme val="minor"/>
    </font>
    <font>
      <b/>
      <sz val="10"/>
      <color theme="0"/>
      <name val="Calibri"/>
      <family val="2"/>
      <scheme val="minor"/>
    </font>
    <font>
      <sz val="11"/>
      <color rgb="FFFF0000"/>
      <name val="Calibri Light"/>
      <family val="2"/>
    </font>
    <font>
      <vertAlign val="superscript"/>
      <sz val="11"/>
      <color theme="1"/>
      <name val="Calibri Light"/>
      <family val="2"/>
    </font>
    <font>
      <b/>
      <sz val="11"/>
      <name val="Calibri Light"/>
      <family val="2"/>
    </font>
    <font>
      <b/>
      <sz val="18"/>
      <name val="Calibri"/>
      <family val="2"/>
      <scheme val="minor"/>
    </font>
    <font>
      <sz val="14"/>
      <color rgb="FFFF0000"/>
      <name val="Calibri Light"/>
      <family val="2"/>
    </font>
    <font>
      <vertAlign val="superscript"/>
      <sz val="10"/>
      <color theme="1"/>
      <name val="Calibri"/>
      <family val="2"/>
      <scheme val="minor"/>
    </font>
    <font>
      <b/>
      <sz val="10"/>
      <color theme="0"/>
      <name val="Calibri Light"/>
      <family val="2"/>
    </font>
    <font>
      <b/>
      <sz val="10"/>
      <color theme="1"/>
      <name val="Calibri Light"/>
      <family val="2"/>
    </font>
    <font>
      <sz val="10"/>
      <color theme="1"/>
      <name val="Calibri"/>
      <family val="2"/>
    </font>
    <font>
      <b/>
      <sz val="11"/>
      <color rgb="FFFF0000"/>
      <name val="Calibri Light"/>
      <family val="2"/>
    </font>
  </fonts>
  <fills count="10">
    <fill>
      <patternFill patternType="none"/>
    </fill>
    <fill>
      <patternFill patternType="gray125"/>
    </fill>
    <fill>
      <patternFill patternType="solid">
        <fgColor theme="7" tint="0.79998168889431442"/>
        <bgColor indexed="64"/>
      </patternFill>
    </fill>
    <fill>
      <patternFill patternType="solid">
        <fgColor theme="2" tint="-4.9989318521683403E-2"/>
        <bgColor indexed="64"/>
      </patternFill>
    </fill>
    <fill>
      <patternFill patternType="solid">
        <fgColor rgb="FF00FF99"/>
        <bgColor indexed="64"/>
      </patternFill>
    </fill>
    <fill>
      <patternFill patternType="solid">
        <fgColor rgb="FFFFC000"/>
        <bgColor theme="4"/>
      </patternFill>
    </fill>
    <fill>
      <patternFill patternType="solid">
        <fgColor rgb="FFFFC000"/>
        <bgColor indexed="64"/>
      </patternFill>
    </fill>
    <fill>
      <patternFill patternType="solid">
        <fgColor theme="7" tint="-0.249977111117893"/>
        <bgColor indexed="64"/>
      </patternFill>
    </fill>
    <fill>
      <patternFill patternType="solid">
        <fgColor theme="5"/>
        <bgColor indexed="64"/>
      </patternFill>
    </fill>
    <fill>
      <patternFill patternType="solid">
        <fgColor rgb="FFFFCC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164" fontId="0" fillId="0" borderId="0" xfId="1" applyNumberFormat="1" applyFont="1"/>
    <xf numFmtId="14" fontId="0" fillId="0" borderId="0" xfId="0" applyNumberFormat="1"/>
    <xf numFmtId="0" fontId="3" fillId="0" borderId="0" xfId="0" applyFont="1"/>
    <xf numFmtId="0" fontId="0" fillId="0" borderId="0" xfId="0" applyAlignment="1">
      <alignment horizontal="right"/>
    </xf>
    <xf numFmtId="0" fontId="5" fillId="0" borderId="0" xfId="0" applyFont="1" applyAlignment="1">
      <alignment horizontal="left" vertical="center"/>
    </xf>
    <xf numFmtId="0" fontId="5" fillId="0" borderId="0" xfId="0" applyFont="1" applyAlignment="1">
      <alignment horizontal="left" vertical="center" wrapText="1"/>
    </xf>
    <xf numFmtId="44" fontId="0" fillId="0" borderId="0" xfId="2" applyFont="1" applyFill="1" applyBorder="1" applyProtection="1">
      <protection locked="0"/>
    </xf>
    <xf numFmtId="164" fontId="0" fillId="0" borderId="0" xfId="1" applyNumberFormat="1" applyFont="1" applyProtection="1">
      <protection hidden="1"/>
    </xf>
    <xf numFmtId="0" fontId="0" fillId="0" borderId="0" xfId="0" applyProtection="1">
      <protection hidden="1"/>
    </xf>
    <xf numFmtId="44" fontId="8" fillId="0" borderId="0" xfId="0" applyNumberFormat="1" applyFont="1" applyAlignment="1" applyProtection="1">
      <alignment horizontal="center"/>
      <protection hidden="1"/>
    </xf>
    <xf numFmtId="167" fontId="0" fillId="0" borderId="0" xfId="0" applyNumberFormat="1" applyProtection="1">
      <protection hidden="1"/>
    </xf>
    <xf numFmtId="164" fontId="0" fillId="0" borderId="0" xfId="1" applyNumberFormat="1" applyFont="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lignment wrapText="1"/>
    </xf>
    <xf numFmtId="0" fontId="0" fillId="0" borderId="1" xfId="0" applyBorder="1" applyAlignment="1">
      <alignment vertical="top" wrapText="1"/>
    </xf>
    <xf numFmtId="0" fontId="9" fillId="0" borderId="1" xfId="0" applyFont="1" applyBorder="1" applyAlignment="1">
      <alignment vertical="center"/>
    </xf>
    <xf numFmtId="44" fontId="9" fillId="0" borderId="1" xfId="2" applyFont="1" applyFill="1" applyBorder="1" applyAlignment="1" applyProtection="1">
      <alignment vertical="center" wrapText="1"/>
      <protection locked="0"/>
    </xf>
    <xf numFmtId="0" fontId="4" fillId="0" borderId="0" xfId="0" applyFont="1" applyAlignment="1">
      <alignment horizontal="right"/>
    </xf>
    <xf numFmtId="44" fontId="7" fillId="0" borderId="0" xfId="2" applyFont="1" applyFill="1" applyBorder="1" applyAlignment="1" applyProtection="1">
      <alignment horizontal="center"/>
      <protection locked="0"/>
    </xf>
    <xf numFmtId="0" fontId="0" fillId="0" borderId="0" xfId="0" applyAlignment="1">
      <alignment horizontal="center" vertical="center"/>
    </xf>
    <xf numFmtId="166" fontId="7" fillId="0" borderId="0" xfId="2" applyNumberFormat="1" applyFont="1" applyFill="1" applyBorder="1" applyAlignment="1" applyProtection="1">
      <alignment horizontal="center"/>
      <protection locked="0"/>
    </xf>
    <xf numFmtId="0" fontId="0" fillId="0" borderId="0" xfId="0" applyAlignment="1">
      <alignment wrapText="1"/>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0" fontId="14" fillId="0" borderId="0" xfId="0" applyFont="1"/>
    <xf numFmtId="0" fontId="0" fillId="0" borderId="0" xfId="0" applyAlignment="1" applyProtection="1">
      <alignment horizontal="left" wrapText="1"/>
      <protection hidden="1"/>
    </xf>
    <xf numFmtId="0" fontId="4" fillId="0" borderId="1" xfId="0" applyFont="1" applyBorder="1" applyAlignment="1">
      <alignment horizontal="center"/>
    </xf>
    <xf numFmtId="0" fontId="4" fillId="0" borderId="1" xfId="0" applyFont="1" applyBorder="1" applyAlignment="1">
      <alignment horizontal="center" wrapText="1"/>
    </xf>
    <xf numFmtId="166" fontId="7" fillId="4" borderId="1" xfId="3" applyNumberFormat="1" applyFont="1" applyFill="1" applyBorder="1" applyAlignment="1" applyProtection="1">
      <alignment horizontal="center" vertical="center"/>
      <protection locked="0"/>
    </xf>
    <xf numFmtId="166" fontId="7" fillId="4" borderId="1" xfId="3" applyNumberFormat="1" applyFont="1" applyFill="1" applyBorder="1" applyAlignment="1" applyProtection="1">
      <alignment horizontal="center"/>
      <protection locked="0"/>
    </xf>
    <xf numFmtId="165" fontId="7" fillId="4" borderId="1" xfId="2" applyNumberFormat="1" applyFont="1" applyFill="1" applyBorder="1" applyAlignment="1" applyProtection="1">
      <alignment horizontal="center"/>
      <protection locked="0"/>
    </xf>
    <xf numFmtId="44" fontId="7" fillId="4" borderId="1" xfId="2" applyFont="1" applyFill="1" applyBorder="1" applyAlignment="1" applyProtection="1">
      <alignment horizontal="center"/>
      <protection locked="0"/>
    </xf>
    <xf numFmtId="164" fontId="4" fillId="2" borderId="1" xfId="0" applyNumberFormat="1" applyFont="1" applyFill="1" applyBorder="1" applyAlignment="1" applyProtection="1">
      <alignment vertical="center"/>
      <protection hidden="1"/>
    </xf>
    <xf numFmtId="0" fontId="0" fillId="3" borderId="5" xfId="0" applyFill="1" applyBorder="1" applyAlignment="1">
      <alignment horizontal="right"/>
    </xf>
    <xf numFmtId="0" fontId="0" fillId="0" borderId="5" xfId="0" applyBorder="1" applyAlignment="1">
      <alignment horizontal="right"/>
    </xf>
    <xf numFmtId="166" fontId="9" fillId="4" borderId="1" xfId="2" applyNumberFormat="1" applyFont="1" applyFill="1" applyBorder="1" applyAlignment="1" applyProtection="1">
      <alignment horizontal="left" vertical="center"/>
      <protection locked="0"/>
    </xf>
    <xf numFmtId="0" fontId="16" fillId="5" borderId="7" xfId="0" applyFont="1" applyFill="1" applyBorder="1" applyAlignment="1">
      <alignment horizontal="center" wrapText="1"/>
    </xf>
    <xf numFmtId="0" fontId="16" fillId="5" borderId="7" xfId="0" applyFont="1" applyFill="1" applyBorder="1" applyAlignment="1">
      <alignment horizontal="center"/>
    </xf>
    <xf numFmtId="164" fontId="16" fillId="5" borderId="8" xfId="1" applyNumberFormat="1" applyFont="1" applyFill="1" applyBorder="1" applyAlignment="1">
      <alignment horizontal="center"/>
    </xf>
    <xf numFmtId="0" fontId="0" fillId="3" borderId="9" xfId="0" applyFill="1" applyBorder="1"/>
    <xf numFmtId="44" fontId="4" fillId="3" borderId="10" xfId="2" applyFont="1" applyFill="1" applyBorder="1"/>
    <xf numFmtId="0" fontId="0" fillId="0" borderId="9" xfId="0" applyBorder="1"/>
    <xf numFmtId="44" fontId="4" fillId="0" borderId="10" xfId="2" applyFont="1" applyFill="1" applyBorder="1"/>
    <xf numFmtId="0" fontId="14" fillId="3" borderId="9" xfId="0" applyFont="1" applyFill="1" applyBorder="1"/>
    <xf numFmtId="0" fontId="14" fillId="0" borderId="9" xfId="0" applyFont="1" applyBorder="1"/>
    <xf numFmtId="0" fontId="4" fillId="0" borderId="0" xfId="0" applyFont="1" applyAlignment="1">
      <alignment horizontal="right" vertical="center"/>
    </xf>
    <xf numFmtId="0" fontId="18" fillId="0" borderId="0" xfId="0" applyFont="1"/>
    <xf numFmtId="0" fontId="5" fillId="0" borderId="0" xfId="0" applyFont="1" applyProtection="1">
      <protection hidden="1"/>
    </xf>
    <xf numFmtId="0" fontId="5" fillId="0" borderId="0" xfId="0" applyFont="1" applyAlignment="1" applyProtection="1">
      <alignment horizontal="left"/>
      <protection hidden="1"/>
    </xf>
    <xf numFmtId="44" fontId="0" fillId="7" borderId="5" xfId="0" applyNumberFormat="1" applyFill="1" applyBorder="1" applyAlignment="1">
      <alignment horizontal="center"/>
    </xf>
    <xf numFmtId="44" fontId="0" fillId="7" borderId="12" xfId="0" applyNumberFormat="1" applyFill="1" applyBorder="1" applyAlignment="1">
      <alignment horizontal="center"/>
    </xf>
    <xf numFmtId="44" fontId="13" fillId="8" borderId="2" xfId="2" applyFont="1" applyFill="1" applyBorder="1" applyAlignment="1" applyProtection="1">
      <alignment horizontal="center" vertical="center"/>
      <protection hidden="1"/>
    </xf>
    <xf numFmtId="168" fontId="13" fillId="8" borderId="3" xfId="0" applyNumberFormat="1" applyFont="1" applyFill="1" applyBorder="1" applyAlignment="1" applyProtection="1">
      <alignment horizontal="center" vertical="center" wrapText="1"/>
      <protection hidden="1"/>
    </xf>
    <xf numFmtId="0" fontId="13" fillId="8" borderId="3" xfId="0" applyFont="1" applyFill="1" applyBorder="1" applyAlignment="1" applyProtection="1">
      <alignment horizontal="center" vertical="center" wrapText="1"/>
      <protection hidden="1"/>
    </xf>
    <xf numFmtId="0" fontId="13" fillId="8" borderId="4" xfId="0" applyFont="1" applyFill="1" applyBorder="1" applyAlignment="1" applyProtection="1">
      <alignment horizontal="center" vertical="center" wrapText="1"/>
      <protection hidden="1"/>
    </xf>
    <xf numFmtId="164" fontId="4" fillId="2" borderId="0" xfId="0" applyNumberFormat="1" applyFont="1" applyFill="1" applyAlignment="1" applyProtection="1">
      <alignment vertical="center"/>
      <protection hidden="1"/>
    </xf>
    <xf numFmtId="0" fontId="12" fillId="8" borderId="1" xfId="0" applyFont="1" applyFill="1" applyBorder="1"/>
    <xf numFmtId="164" fontId="0" fillId="0" borderId="0" xfId="1" applyNumberFormat="1" applyFont="1" applyAlignment="1">
      <alignment horizontal="left" vertical="center"/>
    </xf>
    <xf numFmtId="0" fontId="5" fillId="0" borderId="0" xfId="0" applyFont="1" applyAlignment="1">
      <alignment horizontal="center" vertical="center"/>
    </xf>
    <xf numFmtId="164" fontId="5" fillId="0" borderId="0" xfId="1" applyNumberFormat="1" applyFont="1" applyAlignment="1">
      <alignment horizontal="center" vertical="center"/>
    </xf>
    <xf numFmtId="0" fontId="5" fillId="8" borderId="0" xfId="0" applyFont="1" applyFill="1" applyAlignment="1">
      <alignment horizontal="left" vertical="center" wrapText="1"/>
    </xf>
    <xf numFmtId="169" fontId="20" fillId="8" borderId="0" xfId="1" applyNumberFormat="1" applyFont="1" applyFill="1" applyAlignment="1">
      <alignment horizontal="center" vertical="center" wrapText="1"/>
    </xf>
    <xf numFmtId="0" fontId="5" fillId="0" borderId="0" xfId="0" applyFont="1" applyAlignment="1">
      <alignment horizontal="left" wrapText="1"/>
    </xf>
    <xf numFmtId="0" fontId="21" fillId="0" borderId="0" xfId="0" applyFont="1" applyAlignment="1">
      <alignment horizontal="left" wrapText="1"/>
    </xf>
    <xf numFmtId="170" fontId="13" fillId="8" borderId="3" xfId="0" applyNumberFormat="1" applyFont="1" applyFill="1" applyBorder="1" applyAlignment="1" applyProtection="1">
      <alignment horizontal="center" vertical="center" wrapText="1"/>
      <protection hidden="1"/>
    </xf>
    <xf numFmtId="164" fontId="0" fillId="8" borderId="0" xfId="1" applyNumberFormat="1" applyFont="1" applyFill="1" applyAlignment="1">
      <alignment horizontal="left" vertical="center" wrapText="1"/>
    </xf>
    <xf numFmtId="0" fontId="5" fillId="8" borderId="0" xfId="0" applyFont="1" applyFill="1" applyAlignment="1">
      <alignment horizontal="center" vertical="center"/>
    </xf>
    <xf numFmtId="164" fontId="5" fillId="8" borderId="0" xfId="1" applyNumberFormat="1" applyFont="1" applyFill="1" applyAlignment="1">
      <alignment horizontal="center" vertical="center" wrapText="1"/>
    </xf>
    <xf numFmtId="164" fontId="0" fillId="8" borderId="0" xfId="1" applyNumberFormat="1" applyFont="1" applyFill="1" applyAlignment="1">
      <alignment horizontal="center" vertical="center" wrapText="1"/>
    </xf>
    <xf numFmtId="14" fontId="5" fillId="0" borderId="0" xfId="0" applyNumberFormat="1" applyFont="1" applyAlignment="1">
      <alignment horizontal="center" vertical="center"/>
    </xf>
    <xf numFmtId="0" fontId="5" fillId="0" borderId="0" xfId="0" applyFont="1" applyAlignment="1">
      <alignment horizontal="center" wrapText="1"/>
    </xf>
    <xf numFmtId="164" fontId="0" fillId="8" borderId="0" xfId="1" applyNumberFormat="1" applyFont="1" applyFill="1" applyAlignment="1">
      <alignment horizontal="center" wrapText="1"/>
    </xf>
    <xf numFmtId="164" fontId="0" fillId="0" borderId="0" xfId="0" applyNumberFormat="1" applyAlignment="1">
      <alignment horizontal="right" vertical="center"/>
    </xf>
    <xf numFmtId="164" fontId="0" fillId="0" borderId="0" xfId="1" applyNumberFormat="1" applyFont="1" applyAlignment="1">
      <alignment horizontal="right" vertical="center"/>
    </xf>
    <xf numFmtId="44" fontId="0" fillId="3" borderId="5" xfId="2" applyFont="1" applyFill="1" applyBorder="1" applyAlignment="1">
      <alignment horizontal="center"/>
    </xf>
    <xf numFmtId="44" fontId="0" fillId="0" borderId="5" xfId="2" applyFont="1" applyFill="1" applyBorder="1" applyAlignment="1">
      <alignment horizontal="center"/>
    </xf>
    <xf numFmtId="0" fontId="3" fillId="0" borderId="5" xfId="0" applyFont="1" applyBorder="1" applyAlignment="1">
      <alignment horizontal="right"/>
    </xf>
    <xf numFmtId="0" fontId="3" fillId="3" borderId="11" xfId="0" applyFont="1" applyFill="1" applyBorder="1"/>
    <xf numFmtId="0" fontId="3" fillId="3" borderId="12" xfId="0" applyFont="1" applyFill="1" applyBorder="1" applyAlignment="1">
      <alignment horizontal="right"/>
    </xf>
    <xf numFmtId="44" fontId="4" fillId="3" borderId="13" xfId="2" applyFont="1" applyFill="1" applyBorder="1"/>
    <xf numFmtId="0" fontId="5" fillId="4" borderId="1" xfId="0" applyFont="1" applyFill="1" applyBorder="1" applyAlignment="1">
      <alignment horizontal="center" vertical="center"/>
    </xf>
    <xf numFmtId="0" fontId="16" fillId="5" borderId="7" xfId="0" applyFont="1" applyFill="1" applyBorder="1" applyAlignment="1">
      <alignment horizontal="right"/>
    </xf>
    <xf numFmtId="0" fontId="22" fillId="0" borderId="0" xfId="0" applyFont="1"/>
    <xf numFmtId="0" fontId="22" fillId="0" borderId="0" xfId="0" applyFont="1" applyAlignment="1">
      <alignment horizontal="left"/>
    </xf>
    <xf numFmtId="0" fontId="0" fillId="6" borderId="6" xfId="0" applyFill="1" applyBorder="1" applyAlignment="1">
      <alignment horizontal="right"/>
    </xf>
    <xf numFmtId="164" fontId="0" fillId="0" borderId="0" xfId="1" applyNumberFormat="1" applyFont="1" applyAlignment="1">
      <alignment horizontal="center"/>
    </xf>
    <xf numFmtId="165" fontId="7" fillId="0" borderId="0" xfId="2" applyNumberFormat="1" applyFont="1" applyFill="1" applyBorder="1" applyAlignment="1" applyProtection="1">
      <alignment horizontal="center"/>
      <protection locked="0"/>
    </xf>
    <xf numFmtId="166" fontId="7" fillId="0" borderId="0" xfId="3" applyNumberFormat="1" applyFont="1" applyFill="1" applyBorder="1" applyAlignment="1" applyProtection="1">
      <alignment horizontal="center" vertical="center"/>
      <protection locked="0"/>
    </xf>
    <xf numFmtId="0" fontId="21" fillId="8" borderId="0" xfId="0" applyFont="1" applyFill="1" applyAlignment="1">
      <alignment horizontal="right" vertical="center" wrapText="1"/>
    </xf>
    <xf numFmtId="164" fontId="14" fillId="0" borderId="0" xfId="1" applyNumberFormat="1" applyFont="1" applyProtection="1">
      <protection hidden="1"/>
    </xf>
    <xf numFmtId="44" fontId="17" fillId="6" borderId="15" xfId="2" applyFont="1" applyFill="1" applyBorder="1" applyAlignment="1" applyProtection="1">
      <alignment vertical="center"/>
      <protection hidden="1"/>
    </xf>
    <xf numFmtId="0" fontId="17" fillId="6" borderId="14" xfId="0" applyFont="1" applyFill="1" applyBorder="1" applyAlignment="1" applyProtection="1">
      <alignment horizontal="center" vertical="center"/>
      <protection hidden="1"/>
    </xf>
    <xf numFmtId="166" fontId="7" fillId="9" borderId="4" xfId="2" applyNumberFormat="1" applyFont="1" applyFill="1" applyBorder="1" applyAlignment="1" applyProtection="1">
      <alignment horizontal="center"/>
      <protection locked="0"/>
    </xf>
    <xf numFmtId="166" fontId="7" fillId="9" borderId="1" xfId="2" applyNumberFormat="1" applyFont="1" applyFill="1" applyBorder="1" applyAlignment="1" applyProtection="1">
      <alignment horizontal="center"/>
      <protection locked="0"/>
    </xf>
    <xf numFmtId="44" fontId="9" fillId="9" borderId="1" xfId="2" applyFont="1" applyFill="1" applyBorder="1" applyAlignment="1" applyProtection="1">
      <alignment vertical="center" wrapText="1"/>
      <protection locked="0"/>
    </xf>
    <xf numFmtId="164" fontId="0" fillId="0" borderId="0" xfId="0" applyNumberFormat="1"/>
    <xf numFmtId="0" fontId="4" fillId="0" borderId="0" xfId="0" applyFont="1" applyAlignment="1">
      <alignment horizontal="center"/>
    </xf>
    <xf numFmtId="0" fontId="0" fillId="0" borderId="0" xfId="0" applyAlignment="1">
      <alignment horizontal="right"/>
    </xf>
    <xf numFmtId="0" fontId="0" fillId="0" borderId="16" xfId="0" applyBorder="1" applyAlignment="1">
      <alignment horizontal="right"/>
    </xf>
  </cellXfs>
  <cellStyles count="4">
    <cellStyle name="Komma" xfId="1" builtinId="3"/>
    <cellStyle name="Procent" xfId="3" builtinId="5"/>
    <cellStyle name="Standaard" xfId="0" builtinId="0"/>
    <cellStyle name="Valuta" xfId="2" builtinId="4"/>
  </cellStyles>
  <dxfs count="35">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bottom"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dxf>
    <dxf>
      <font>
        <strike val="0"/>
        <outline val="0"/>
        <shadow val="0"/>
        <u val="none"/>
        <vertAlign val="baseline"/>
        <sz val="10"/>
        <color theme="1"/>
      </font>
      <fill>
        <patternFill patternType="none">
          <fgColor indexed="64"/>
          <bgColor auto="1"/>
        </patternFill>
      </fill>
      <alignment horizontal="left" vertical="center" textRotation="0" wrapText="1" indent="0" justifyLastLine="0" shrinkToFit="0" readingOrder="0"/>
    </dxf>
  </dxfs>
  <tableStyles count="0" defaultTableStyle="TableStyleMedium2" defaultPivotStyle="PivotStyleLight16"/>
  <colors>
    <mruColors>
      <color rgb="FFFFCCFF"/>
      <color rgb="FFFFEFFF"/>
      <color rgb="FF00FF99"/>
      <color rgb="FFCE1884"/>
      <color rgb="FFCDFFEB"/>
      <color rgb="FFCDFFEC"/>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501831-FC0E-48D9-979B-EBA9A87B5908}" name="Viadere" displayName="Viadere" ref="A2:U32" totalsRowCount="1" headerRowDxfId="34">
  <autoFilter ref="A2:U31"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2" xr3:uid="{187D964B-CE85-470E-928F-C5A48DFE4C40}" name="Naam school" totalsRowLabel="Totaal" dataDxfId="33" dataCellStyle="Komma"/>
    <tableColumn id="23" xr3:uid="{1F14B62E-B6C3-45D3-8D5E-F0FC43CF901A}" name="Locatie" dataDxfId="32" dataCellStyle="Komma"/>
    <tableColumn id="3" xr3:uid="{ACBDCDE2-B427-4672-AD6B-BA3973BFCBA2}" name="Adres"/>
    <tableColumn id="5" xr3:uid="{DA3E7444-5F60-4F02-82DE-934A5CBC2D96}" name="Postcode"/>
    <tableColumn id="6" xr3:uid="{625FF3B3-5EA3-4758-9668-4F079A0F2C14}" name="Plaats"/>
    <tableColumn id="10" xr3:uid="{04727A6C-FCA0-438E-AF4E-2ACAADBF3B6A}" name="Model 1_x000a_(eis M1 t/m M27)" totalsRowFunction="sum" dataDxfId="31" totalsRowDxfId="30">
      <calculatedColumnFormula>IF(Viadere[[#This Row],[Zw/w p/j]]=0,"",IF((Viadere[[#This Row],[Zw/w p/j]]+Viadere[[#This Row],[Kleur p/j]])&lt;Viadere!$J$1,"",IF((Viadere[[#This Row],[Zw/w p/j]]+Viadere[[#This Row],[Kleur p/j]])&lt;Viadere!$G$1,1,IF((Viadere[[#This Row],[Zw/w p/j]]+Viadere[[#This Row],[Kleur p/j]])&gt;Viadere!$F$1,2,""))))</calculatedColumnFormula>
    </tableColumn>
    <tableColumn id="14" xr3:uid="{BECC558B-3A02-4B2C-9F26-125C30EA087A}" name="Model 2_x000a_(eis M1 t/m M27)" totalsRowFunction="sum" dataDxfId="29" totalsRowDxfId="28"/>
    <tableColumn id="11" xr3:uid="{A7A382A9-D7D8-4B7F-9C82-4B7CE941AB69}" name="Datum in gebruikname" dataDxfId="27" totalsRowDxfId="26"/>
    <tableColumn id="8" xr3:uid="{0340CAB5-FB04-4E6C-9414-97DF5857A5DE}" name="Zw/w p/j" totalsRowFunction="sum" dataDxfId="25" totalsRowDxfId="24" dataCellStyle="Komma"/>
    <tableColumn id="7" xr3:uid="{E1CFDB08-1088-4470-8F44-BF837186B8DE}" name="Kleur p/j" totalsRowFunction="sum" dataDxfId="23" totalsRowDxfId="22" dataCellStyle="Komma"/>
    <tableColumn id="12" xr3:uid="{9216B3BD-27C0-49CC-91CF-7D28552ED699}" name="Zw/w p/m" totalsRowFunction="sum" dataDxfId="21" totalsRowDxfId="20" dataCellStyle="Komma">
      <calculatedColumnFormula>Viadere[[#This Row],[Zw/w p/j]]/12</calculatedColumnFormula>
    </tableColumn>
    <tableColumn id="13" xr3:uid="{D4A116E2-14C4-4703-B53D-5E4E3F2DFAC8}" name="kleur p/m" totalsRowFunction="sum" dataDxfId="19" totalsRowDxfId="18" dataCellStyle="Komma">
      <calculatedColumnFormula>Viadere[[#This Row],[Kleur p/j]]/12</calculatedColumnFormula>
    </tableColumn>
    <tableColumn id="9" xr3:uid="{C0CBDF7B-46B3-437F-A22F-DFAEF488CA67}" name="Aantal maanden" totalsRowLabel=" 1.632 " dataDxfId="17" totalsRowDxfId="16" dataCellStyle="Komma">
      <calculatedColumnFormula>INT(_xlfn.DAYS($P$1,Viadere[[#This Row],[Datum in gebruikname]])/30.41)</calculatedColumnFormula>
    </tableColumn>
    <tableColumn id="15" xr3:uid="{824BA721-DD73-4063-B594-2FFB51E088EF}" name="# zw/w afdrukken M1" totalsRowFunction="custom" dataDxfId="15" totalsRowDxfId="14" dataCellStyle="Komma">
      <calculatedColumnFormula>IF(Viadere[[#This Row],[Model 1
(eis M1 t/m M27)]]="","",Viadere[[#This Row],[Zw/w p/m]]*Viadere[[#This Row],[Aantal maanden]])</calculatedColumnFormula>
      <totalsRowFormula>SUBTOTAL(109,Viadere['# zw/w afdrukken M1])-N3</totalsRowFormula>
    </tableColumn>
    <tableColumn id="16" xr3:uid="{CADE8F89-1940-4F71-9C42-BCC1A769E490}" name="# kleur afdrukken M1" totalsRowFunction="custom" dataDxfId="13" totalsRowDxfId="12" dataCellStyle="Komma">
      <calculatedColumnFormula>IF(Viadere[[#This Row],[Model 1
(eis M1 t/m M27)]]="","",Viadere[[#This Row],[kleur p/m]]*Viadere[[#This Row],[Aantal maanden]])</calculatedColumnFormula>
      <totalsRowFormula>SUBTOTAL(109,Viadere['# kleur afdrukken M1])-O3</totalsRowFormula>
    </tableColumn>
    <tableColumn id="17" xr3:uid="{7C0AE6C0-2647-4491-8709-73C5D3CE0F47}" name="# zw/w afdrukken M2" totalsRowFunction="custom" dataDxfId="11" totalsRowDxfId="10" dataCellStyle="Komma">
      <calculatedColumnFormula>IF(Viadere[[#This Row],[Model 2
(eis M1 t/m M27)]]="","",Viadere[[#This Row],[Zw/w p/m]]*Viadere[[#This Row],[Aantal maanden]])</calculatedColumnFormula>
      <totalsRowFormula>SUBTOTAL(109,Viadere['# zw/w afdrukken M2])-P3</totalsRowFormula>
    </tableColumn>
    <tableColumn id="18" xr3:uid="{2ADEA285-604B-40A5-A99C-2A8E0E7C5A54}" name="# kleur afdrukken M2" totalsRowFunction="custom" dataDxfId="9" totalsRowDxfId="8" dataCellStyle="Komma">
      <calculatedColumnFormula>IF(Viadere[[#This Row],[Model 2
(eis M1 t/m M27)]]="","",Viadere[[#This Row],[kleur p/m]]*Viadere[[#This Row],[Aantal maanden]])</calculatedColumnFormula>
      <totalsRowFormula>SUBTOTAL(109,Viadere['# kleur afdrukken M2])-Q3</totalsRowFormula>
    </tableColumn>
    <tableColumn id="21" xr3:uid="{6EF3A3D9-43E8-4657-876C-976FB83E02FD}" name="Aantal zw/w afdrukken per optiejaar M1" totalsRowFunction="sum" dataDxfId="7" totalsRowDxfId="6" dataCellStyle="Komma">
      <calculatedColumnFormula>IF(Viadere[[#This Row],[Model 1
(eis M1 t/m M27)]]="","",Viadere[[#This Row],['# zw/w afdrukken M1]]/4)</calculatedColumnFormula>
    </tableColumn>
    <tableColumn id="22" xr3:uid="{D4E65E12-2523-486E-8C91-DFECDA45B9BD}" name="Aantal kleur afdrukken per optiejaar M1" totalsRowFunction="sum" dataDxfId="5" totalsRowDxfId="4" dataCellStyle="Komma">
      <calculatedColumnFormula>IF(Viadere[[#This Row],[Model 1
(eis M1 t/m M27)]]="","",Viadere[[#This Row],['# kleur afdrukken M1]]/4)</calculatedColumnFormula>
    </tableColumn>
    <tableColumn id="25" xr3:uid="{E40EDA3E-D19B-45A8-AFC7-BBFD1A735148}" name="Aantal zw/w afdrukken per optiejaar M2" totalsRowFunction="sum" dataDxfId="3" totalsRowDxfId="2" dataCellStyle="Komma">
      <calculatedColumnFormula>IF(Viadere[[#This Row],[Model 2
(eis M1 t/m M27)]]="","",Viadere[[#This Row],['# zw/w afdrukken M2]]/4)</calculatedColumnFormula>
    </tableColumn>
    <tableColumn id="26" xr3:uid="{011E1BDF-BDD0-4097-AA37-BC4FDF25BB8A}" name="Aantal kleur afdrukken per optiejaar M2" totalsRowFunction="sum" dataDxfId="1" totalsRowDxfId="0" dataCellStyle="Komma">
      <calculatedColumnFormula>IF(Viadere[[#This Row],[Model 2
(eis M1 t/m M27)]]="","",Viadere[[#This Row],['# kleur afdrukken M2]]/4)</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Aangepast 3">
      <a:dk1>
        <a:srgbClr val="000000"/>
      </a:dk1>
      <a:lt1>
        <a:srgbClr val="FFFFFF"/>
      </a:lt1>
      <a:dk2>
        <a:srgbClr val="7F7F7F"/>
      </a:dk2>
      <a:lt2>
        <a:srgbClr val="FFFFFF"/>
      </a:lt2>
      <a:accent1>
        <a:srgbClr val="0087C9"/>
      </a:accent1>
      <a:accent2>
        <a:srgbClr val="00A0D1"/>
      </a:accent2>
      <a:accent3>
        <a:srgbClr val="002E60"/>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sheetPr>
    <pageSetUpPr fitToPage="1"/>
  </sheetPr>
  <dimension ref="A1:D57"/>
  <sheetViews>
    <sheetView showGridLines="0" zoomScaleNormal="100" workbookViewId="0">
      <selection activeCell="B21" sqref="B21"/>
    </sheetView>
  </sheetViews>
  <sheetFormatPr defaultRowHeight="14.5" x14ac:dyDescent="0.35"/>
  <cols>
    <col min="1" max="1" width="30.453125" bestFit="1" customWidth="1"/>
    <col min="2" max="2" width="105.08984375" customWidth="1"/>
    <col min="3" max="3" width="2.1796875" customWidth="1"/>
    <col min="4" max="4" width="9.54296875" bestFit="1" customWidth="1"/>
  </cols>
  <sheetData>
    <row r="1" spans="1:4" ht="21" x14ac:dyDescent="0.5">
      <c r="A1" s="57" t="s">
        <v>16</v>
      </c>
      <c r="B1" s="57" t="s">
        <v>17</v>
      </c>
    </row>
    <row r="2" spans="1:4" ht="87" x14ac:dyDescent="0.35">
      <c r="A2" s="16" t="s">
        <v>18</v>
      </c>
      <c r="B2" s="14" t="s">
        <v>19</v>
      </c>
    </row>
    <row r="3" spans="1:4" ht="43.5" x14ac:dyDescent="0.35">
      <c r="A3" s="16" t="s">
        <v>18</v>
      </c>
      <c r="B3" s="14" t="s">
        <v>66</v>
      </c>
    </row>
    <row r="4" spans="1:4" ht="43.5" x14ac:dyDescent="0.35">
      <c r="A4" s="16" t="s">
        <v>18</v>
      </c>
      <c r="B4" s="14" t="s">
        <v>64</v>
      </c>
    </row>
    <row r="5" spans="1:4" ht="43.5" x14ac:dyDescent="0.35">
      <c r="A5" s="16" t="s">
        <v>18</v>
      </c>
      <c r="B5" s="14" t="s">
        <v>20</v>
      </c>
    </row>
    <row r="6" spans="1:4" ht="43.5" x14ac:dyDescent="0.35">
      <c r="A6" s="16" t="s">
        <v>18</v>
      </c>
      <c r="B6" s="15" t="s">
        <v>32</v>
      </c>
    </row>
    <row r="7" spans="1:4" ht="72.5" x14ac:dyDescent="0.35">
      <c r="A7" s="17" t="s">
        <v>18</v>
      </c>
      <c r="B7" s="14" t="s">
        <v>21</v>
      </c>
    </row>
    <row r="8" spans="1:4" ht="58" x14ac:dyDescent="0.35">
      <c r="A8" s="36" t="s">
        <v>22</v>
      </c>
      <c r="B8" s="14" t="s">
        <v>65</v>
      </c>
    </row>
    <row r="9" spans="1:4" ht="72.5" x14ac:dyDescent="0.35">
      <c r="A9" s="95" t="s">
        <v>22</v>
      </c>
      <c r="B9" s="15" t="s">
        <v>150</v>
      </c>
    </row>
    <row r="11" spans="1:4" x14ac:dyDescent="0.35">
      <c r="D11" s="46"/>
    </row>
    <row r="12" spans="1:4" x14ac:dyDescent="0.35">
      <c r="D12" s="4"/>
    </row>
    <row r="13" spans="1:4" x14ac:dyDescent="0.35">
      <c r="D13" s="4"/>
    </row>
    <row r="14" spans="1:4" x14ac:dyDescent="0.35">
      <c r="D14" s="4"/>
    </row>
    <row r="15" spans="1:4" x14ac:dyDescent="0.35">
      <c r="D15" s="4"/>
    </row>
    <row r="16" spans="1:4" x14ac:dyDescent="0.35">
      <c r="D16" s="4"/>
    </row>
    <row r="17" spans="3:4" x14ac:dyDescent="0.35">
      <c r="D17" s="4"/>
    </row>
    <row r="18" spans="3:4" x14ac:dyDescent="0.35">
      <c r="D18" s="4"/>
    </row>
    <row r="19" spans="3:4" x14ac:dyDescent="0.35">
      <c r="D19" s="4"/>
    </row>
    <row r="20" spans="3:4" x14ac:dyDescent="0.35">
      <c r="D20" s="18"/>
    </row>
    <row r="21" spans="3:4" x14ac:dyDescent="0.35">
      <c r="D21" s="18"/>
    </row>
    <row r="23" spans="3:4" x14ac:dyDescent="0.35">
      <c r="C23" s="20"/>
      <c r="D23" s="46"/>
    </row>
    <row r="24" spans="3:4" x14ac:dyDescent="0.35">
      <c r="C24" s="4"/>
      <c r="D24" s="4"/>
    </row>
    <row r="25" spans="3:4" x14ac:dyDescent="0.35">
      <c r="C25" s="4"/>
      <c r="D25" s="4"/>
    </row>
    <row r="26" spans="3:4" x14ac:dyDescent="0.35">
      <c r="C26" s="4"/>
      <c r="D26" s="4"/>
    </row>
    <row r="27" spans="3:4" x14ac:dyDescent="0.35">
      <c r="C27" s="4"/>
      <c r="D27" s="4"/>
    </row>
    <row r="28" spans="3:4" x14ac:dyDescent="0.35">
      <c r="C28" s="4"/>
      <c r="D28" s="4"/>
    </row>
    <row r="29" spans="3:4" x14ac:dyDescent="0.35">
      <c r="C29" s="4"/>
      <c r="D29" s="4"/>
    </row>
    <row r="30" spans="3:4" x14ac:dyDescent="0.35">
      <c r="C30" s="4"/>
      <c r="D30" s="4"/>
    </row>
    <row r="31" spans="3:4" x14ac:dyDescent="0.35">
      <c r="C31" s="18"/>
      <c r="D31" s="4"/>
    </row>
    <row r="32" spans="3:4" x14ac:dyDescent="0.35">
      <c r="C32" s="18"/>
      <c r="D32" s="18"/>
    </row>
    <row r="33" spans="1:4" ht="18.5" x14ac:dyDescent="0.45">
      <c r="D33" s="47"/>
    </row>
    <row r="34" spans="1:4" x14ac:dyDescent="0.35">
      <c r="A34" s="4"/>
      <c r="B34" s="20"/>
      <c r="C34" s="46"/>
      <c r="D34" s="18"/>
    </row>
    <row r="35" spans="1:4" x14ac:dyDescent="0.35">
      <c r="A35" s="4"/>
      <c r="B35" s="4"/>
      <c r="C35" s="4"/>
      <c r="D35" s="18"/>
    </row>
    <row r="36" spans="1:4" x14ac:dyDescent="0.35">
      <c r="A36" s="4"/>
      <c r="B36" s="4"/>
      <c r="C36" s="4"/>
    </row>
    <row r="37" spans="1:4" x14ac:dyDescent="0.35">
      <c r="A37" s="4"/>
      <c r="B37" s="4"/>
      <c r="C37" s="4"/>
      <c r="D37" s="46"/>
    </row>
    <row r="38" spans="1:4" x14ac:dyDescent="0.35">
      <c r="A38" s="4"/>
      <c r="B38" s="4"/>
      <c r="C38" s="4"/>
      <c r="D38" s="4"/>
    </row>
    <row r="39" spans="1:4" x14ac:dyDescent="0.35">
      <c r="A39" s="4"/>
      <c r="B39" s="4"/>
      <c r="C39" s="4"/>
      <c r="D39" s="4"/>
    </row>
    <row r="40" spans="1:4" x14ac:dyDescent="0.35">
      <c r="A40" s="4"/>
      <c r="B40" s="4"/>
      <c r="C40" s="4"/>
      <c r="D40" s="4"/>
    </row>
    <row r="41" spans="1:4" x14ac:dyDescent="0.35">
      <c r="A41" s="4"/>
      <c r="B41" s="4"/>
      <c r="C41" s="4"/>
      <c r="D41" s="4"/>
    </row>
    <row r="42" spans="1:4" x14ac:dyDescent="0.35">
      <c r="A42" s="4"/>
      <c r="B42" s="4"/>
      <c r="C42" s="4"/>
      <c r="D42" s="4"/>
    </row>
    <row r="43" spans="1:4" x14ac:dyDescent="0.35">
      <c r="A43" s="4"/>
      <c r="B43" s="4"/>
      <c r="C43" s="18"/>
      <c r="D43" s="4"/>
    </row>
    <row r="44" spans="1:4" x14ac:dyDescent="0.35">
      <c r="A44" s="4"/>
      <c r="B44" s="4"/>
      <c r="C44" s="18"/>
      <c r="D44" s="4"/>
    </row>
    <row r="45" spans="1:4" x14ac:dyDescent="0.35">
      <c r="A45" s="4"/>
      <c r="B45" s="4"/>
      <c r="C45" s="18"/>
      <c r="D45" s="4"/>
    </row>
    <row r="46" spans="1:4" ht="18.5" x14ac:dyDescent="0.45">
      <c r="D46" s="47"/>
    </row>
    <row r="47" spans="1:4" x14ac:dyDescent="0.35">
      <c r="C47" s="46"/>
    </row>
    <row r="48" spans="1:4" x14ac:dyDescent="0.35">
      <c r="C48" s="4"/>
    </row>
    <row r="49" spans="3:3" x14ac:dyDescent="0.35">
      <c r="C49" s="4"/>
    </row>
    <row r="50" spans="3:3" x14ac:dyDescent="0.35">
      <c r="C50" s="4"/>
    </row>
    <row r="51" spans="3:3" x14ac:dyDescent="0.35">
      <c r="C51" s="4"/>
    </row>
    <row r="52" spans="3:3" x14ac:dyDescent="0.35">
      <c r="C52" s="4"/>
    </row>
    <row r="53" spans="3:3" x14ac:dyDescent="0.35">
      <c r="C53" s="4"/>
    </row>
    <row r="54" spans="3:3" x14ac:dyDescent="0.35">
      <c r="C54" s="4"/>
    </row>
    <row r="55" spans="3:3" x14ac:dyDescent="0.35">
      <c r="C55" s="4"/>
    </row>
    <row r="56" spans="3:3" x14ac:dyDescent="0.35">
      <c r="C56" s="18"/>
    </row>
    <row r="57" spans="3:3" x14ac:dyDescent="0.35">
      <c r="C57" s="18"/>
    </row>
  </sheetData>
  <pageMargins left="0.23622047244094491" right="0.62992125984251968"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0B0C6-B925-4AE0-9E83-74FE8E11F3C7}">
  <sheetPr>
    <tabColor theme="4" tint="0.79998168889431442"/>
    <pageSetUpPr fitToPage="1"/>
  </sheetPr>
  <dimension ref="A1:W75"/>
  <sheetViews>
    <sheetView showGridLines="0" tabSelected="1" zoomScale="90" zoomScaleNormal="90" workbookViewId="0">
      <pane xSplit="3" ySplit="3" topLeftCell="D40" activePane="bottomRight" state="frozen"/>
      <selection pane="topRight" activeCell="D1" sqref="D1"/>
      <selection pane="bottomLeft" activeCell="A4" sqref="A4"/>
      <selection pane="bottomRight" activeCell="I35" sqref="I35:I36"/>
    </sheetView>
  </sheetViews>
  <sheetFormatPr defaultRowHeight="14.5" x14ac:dyDescent="0.35"/>
  <cols>
    <col min="1" max="3" width="25.81640625" customWidth="1"/>
    <col min="4" max="5" width="22.6328125" customWidth="1"/>
    <col min="6" max="6" width="21.453125" customWidth="1"/>
    <col min="7" max="21" width="20.81640625" customWidth="1"/>
    <col min="22" max="23" width="21.6328125" customWidth="1"/>
    <col min="24" max="28" width="19.36328125" customWidth="1"/>
    <col min="29" max="29" width="9.1796875" bestFit="1" customWidth="1"/>
    <col min="30" max="30" width="10.08984375" bestFit="1" customWidth="1"/>
  </cols>
  <sheetData>
    <row r="1" spans="1:21" x14ac:dyDescent="0.35">
      <c r="F1" s="25"/>
      <c r="G1" s="25"/>
      <c r="H1" s="25"/>
      <c r="I1" s="25"/>
      <c r="J1" s="25">
        <v>10000</v>
      </c>
      <c r="O1" s="4" t="s">
        <v>59</v>
      </c>
      <c r="P1" s="2">
        <v>46752</v>
      </c>
    </row>
    <row r="2" spans="1:21" s="6" customFormat="1" ht="26" x14ac:dyDescent="0.3">
      <c r="A2" s="6" t="s">
        <v>0</v>
      </c>
      <c r="B2" s="6" t="s">
        <v>68</v>
      </c>
      <c r="C2" s="6" t="s">
        <v>1</v>
      </c>
      <c r="D2" s="6" t="s">
        <v>67</v>
      </c>
      <c r="E2" s="6" t="s">
        <v>2</v>
      </c>
      <c r="F2" s="63" t="s">
        <v>26</v>
      </c>
      <c r="G2" s="63" t="s">
        <v>27</v>
      </c>
      <c r="H2" s="63" t="s">
        <v>6</v>
      </c>
      <c r="I2" s="71" t="s">
        <v>7</v>
      </c>
      <c r="J2" s="71" t="s">
        <v>8</v>
      </c>
      <c r="K2" s="71" t="s">
        <v>4</v>
      </c>
      <c r="L2" s="71" t="s">
        <v>5</v>
      </c>
      <c r="M2" s="71" t="s">
        <v>9</v>
      </c>
      <c r="N2" s="63" t="s">
        <v>55</v>
      </c>
      <c r="O2" s="64" t="s">
        <v>56</v>
      </c>
      <c r="P2" s="63" t="s">
        <v>57</v>
      </c>
      <c r="Q2" s="64" t="s">
        <v>58</v>
      </c>
      <c r="R2" s="63" t="s">
        <v>28</v>
      </c>
      <c r="S2" s="63" t="s">
        <v>29</v>
      </c>
      <c r="T2" s="63" t="s">
        <v>30</v>
      </c>
      <c r="U2" s="63" t="s">
        <v>31</v>
      </c>
    </row>
    <row r="3" spans="1:21" x14ac:dyDescent="0.35">
      <c r="A3" s="66"/>
      <c r="B3" s="66"/>
      <c r="C3" s="61"/>
      <c r="D3" s="61"/>
      <c r="E3" s="89" t="s">
        <v>144</v>
      </c>
      <c r="F3" s="81"/>
      <c r="G3" s="81"/>
      <c r="H3" s="67"/>
      <c r="I3" s="68"/>
      <c r="J3" s="68"/>
      <c r="K3" s="68"/>
      <c r="L3" s="68"/>
      <c r="M3" s="72"/>
      <c r="N3" s="62">
        <f t="shared" ref="N3:O3" si="0">$P$1</f>
        <v>46752</v>
      </c>
      <c r="O3" s="62">
        <f t="shared" si="0"/>
        <v>46752</v>
      </c>
      <c r="P3" s="62">
        <f t="shared" ref="P3:Q3" si="1">$P$1</f>
        <v>46752</v>
      </c>
      <c r="Q3" s="62">
        <f t="shared" si="1"/>
        <v>46752</v>
      </c>
      <c r="R3" s="69" t="str">
        <f>IF(Viadere[[#This Row],[Model 1
(eis M1 t/m M27)]]="","",Viadere[[#This Row],['# zw/w afdrukken M1]]/4)</f>
        <v/>
      </c>
      <c r="S3" s="69" t="str">
        <f>IF(Viadere[[#This Row],[Model 1
(eis M1 t/m M27)]]="","",Viadere[[#This Row],['# kleur afdrukken M1]]/4)</f>
        <v/>
      </c>
      <c r="T3" s="69" t="str">
        <f>IF(Viadere[[#This Row],[Model 2
(eis M1 t/m M27)]]="","",Viadere[[#This Row],['# zw/w afdrukken M2]]/4)</f>
        <v/>
      </c>
      <c r="U3" s="69" t="str">
        <f>IF(Viadere[[#This Row],[Model 2
(eis M1 t/m M27)]]="","",Viadere[[#This Row],['# kleur afdrukken M2]]/4)</f>
        <v/>
      </c>
    </row>
    <row r="4" spans="1:21" x14ac:dyDescent="0.35">
      <c r="A4" s="84" t="s">
        <v>133</v>
      </c>
      <c r="B4" s="1" t="s">
        <v>69</v>
      </c>
      <c r="C4" s="83" t="s">
        <v>70</v>
      </c>
      <c r="D4" s="83" t="s">
        <v>71</v>
      </c>
      <c r="E4" t="s">
        <v>54</v>
      </c>
      <c r="F4" s="20"/>
      <c r="G4" s="20">
        <v>1</v>
      </c>
      <c r="H4" s="70">
        <v>45292</v>
      </c>
      <c r="I4" s="23">
        <v>236728</v>
      </c>
      <c r="J4" s="23">
        <v>99892</v>
      </c>
      <c r="K4" s="23">
        <f>Viadere[[#This Row],[Zw/w p/j]]/12</f>
        <v>19727.333333333332</v>
      </c>
      <c r="L4" s="23">
        <f>Viadere[[#This Row],[Kleur p/j]]/12</f>
        <v>8324.3333333333339</v>
      </c>
      <c r="M4" s="74">
        <v>48</v>
      </c>
      <c r="N4" s="23" t="str">
        <f>IF(Viadere[[#This Row],[Model 1
(eis M1 t/m M27)]]="","",Viadere[[#This Row],[Zw/w p/m]]*Viadere[[#This Row],[Aantal maanden]])</f>
        <v/>
      </c>
      <c r="O4" s="23" t="str">
        <f>IF(Viadere[[#This Row],[Model 1
(eis M1 t/m M27)]]="","",Viadere[[#This Row],[kleur p/m]]*Viadere[[#This Row],[Aantal maanden]])</f>
        <v/>
      </c>
      <c r="P4" s="23">
        <f>IF(Viadere[[#This Row],[Model 2
(eis M1 t/m M27)]]="","",Viadere[[#This Row],[Zw/w p/m]]*Viadere[[#This Row],[Aantal maanden]])</f>
        <v>946912</v>
      </c>
      <c r="Q4" s="23">
        <f>IF(Viadere[[#This Row],[Model 2
(eis M1 t/m M27)]]="","",Viadere[[#This Row],[kleur p/m]]*Viadere[[#This Row],[Aantal maanden]])</f>
        <v>399568</v>
      </c>
      <c r="R4" s="23" t="str">
        <f>IF(Viadere[[#This Row],[Model 1
(eis M1 t/m M27)]]="","",Viadere[[#This Row],['# zw/w afdrukken M1]]/4)</f>
        <v/>
      </c>
      <c r="S4" s="23" t="str">
        <f>IF(Viadere[[#This Row],[Model 1
(eis M1 t/m M27)]]="","",Viadere[[#This Row],['# kleur afdrukken M1]]/4)</f>
        <v/>
      </c>
      <c r="T4" s="23">
        <f>IF(Viadere[[#This Row],[Model 2
(eis M1 t/m M27)]]="","",Viadere[[#This Row],['# zw/w afdrukken M2]]/4)</f>
        <v>236728</v>
      </c>
      <c r="U4" s="23">
        <f>IF(Viadere[[#This Row],[Model 2
(eis M1 t/m M27)]]="","",Viadere[[#This Row],['# kleur afdrukken M2]]/4)</f>
        <v>99892</v>
      </c>
    </row>
    <row r="5" spans="1:21" x14ac:dyDescent="0.35">
      <c r="A5" s="84" t="s">
        <v>133</v>
      </c>
      <c r="B5" s="1" t="s">
        <v>72</v>
      </c>
      <c r="C5" s="83" t="s">
        <v>73</v>
      </c>
      <c r="D5" s="83" t="s">
        <v>74</v>
      </c>
      <c r="E5" t="s">
        <v>134</v>
      </c>
      <c r="F5" s="20">
        <v>1</v>
      </c>
      <c r="G5" s="59"/>
      <c r="H5" s="70">
        <v>45292</v>
      </c>
      <c r="I5" s="23">
        <v>138388</v>
      </c>
      <c r="J5" s="23">
        <v>68372</v>
      </c>
      <c r="K5" s="23">
        <f>Viadere[[#This Row],[Zw/w p/j]]/12</f>
        <v>11532.333333333334</v>
      </c>
      <c r="L5" s="23">
        <f>Viadere[[#This Row],[Kleur p/j]]/12</f>
        <v>5697.666666666667</v>
      </c>
      <c r="M5" s="74">
        <v>48</v>
      </c>
      <c r="N5" s="23">
        <f>IF(Viadere[[#This Row],[Model 1
(eis M1 t/m M27)]]="","",Viadere[[#This Row],[Zw/w p/m]]*Viadere[[#This Row],[Aantal maanden]])</f>
        <v>553552</v>
      </c>
      <c r="O5" s="23">
        <f>IF(Viadere[[#This Row],[Model 1
(eis M1 t/m M27)]]="","",Viadere[[#This Row],[kleur p/m]]*Viadere[[#This Row],[Aantal maanden]])</f>
        <v>273488</v>
      </c>
      <c r="P5" s="23" t="str">
        <f>IF(Viadere[[#This Row],[Model 2
(eis M1 t/m M27)]]="","",Viadere[[#This Row],[Zw/w p/m]]*Viadere[[#This Row],[Aantal maanden]])</f>
        <v/>
      </c>
      <c r="Q5" s="23" t="str">
        <f>IF(Viadere[[#This Row],[Model 2
(eis M1 t/m M27)]]="","",Viadere[[#This Row],[kleur p/m]]*Viadere[[#This Row],[Aantal maanden]])</f>
        <v/>
      </c>
      <c r="R5" s="23">
        <f>IF(Viadere[[#This Row],[Model 1
(eis M1 t/m M27)]]="","",Viadere[[#This Row],['# zw/w afdrukken M1]]/4)</f>
        <v>138388</v>
      </c>
      <c r="S5" s="23">
        <f>IF(Viadere[[#This Row],[Model 1
(eis M1 t/m M27)]]="","",Viadere[[#This Row],['# kleur afdrukken M1]]/4)</f>
        <v>68372</v>
      </c>
      <c r="T5" s="23" t="str">
        <f>IF(Viadere[[#This Row],[Model 2
(eis M1 t/m M27)]]="","",Viadere[[#This Row],['# zw/w afdrukken M2]]/4)</f>
        <v/>
      </c>
      <c r="U5" s="23" t="str">
        <f>IF(Viadere[[#This Row],[Model 2
(eis M1 t/m M27)]]="","",Viadere[[#This Row],['# kleur afdrukken M2]]/4)</f>
        <v/>
      </c>
    </row>
    <row r="6" spans="1:21" x14ac:dyDescent="0.35">
      <c r="A6" s="83" t="s">
        <v>75</v>
      </c>
      <c r="B6" s="1"/>
      <c r="C6" t="s">
        <v>76</v>
      </c>
      <c r="D6" t="s">
        <v>77</v>
      </c>
      <c r="E6" t="s">
        <v>54</v>
      </c>
      <c r="F6" s="20"/>
      <c r="G6" s="59">
        <v>1</v>
      </c>
      <c r="H6" s="70">
        <v>45292</v>
      </c>
      <c r="I6" s="23">
        <v>203868</v>
      </c>
      <c r="J6" s="23">
        <v>141572</v>
      </c>
      <c r="K6" s="23">
        <f>Viadere[[#This Row],[Zw/w p/j]]/12</f>
        <v>16989</v>
      </c>
      <c r="L6" s="23">
        <f>Viadere[[#This Row],[Kleur p/j]]/12</f>
        <v>11797.666666666666</v>
      </c>
      <c r="M6" s="74">
        <v>48</v>
      </c>
      <c r="N6" s="23" t="str">
        <f>IF(Viadere[[#This Row],[Model 1
(eis M1 t/m M27)]]="","",Viadere[[#This Row],[Zw/w p/m]]*Viadere[[#This Row],[Aantal maanden]])</f>
        <v/>
      </c>
      <c r="O6" s="23" t="str">
        <f>IF(Viadere[[#This Row],[Model 1
(eis M1 t/m M27)]]="","",Viadere[[#This Row],[kleur p/m]]*Viadere[[#This Row],[Aantal maanden]])</f>
        <v/>
      </c>
      <c r="P6" s="23">
        <f>IF(Viadere[[#This Row],[Model 2
(eis M1 t/m M27)]]="","",Viadere[[#This Row],[Zw/w p/m]]*Viadere[[#This Row],[Aantal maanden]])</f>
        <v>815472</v>
      </c>
      <c r="Q6" s="23">
        <f>IF(Viadere[[#This Row],[Model 2
(eis M1 t/m M27)]]="","",Viadere[[#This Row],[kleur p/m]]*Viadere[[#This Row],[Aantal maanden]])</f>
        <v>566288</v>
      </c>
      <c r="R6" s="23" t="str">
        <f>IF(Viadere[[#This Row],[Model 1
(eis M1 t/m M27)]]="","",Viadere[[#This Row],['# zw/w afdrukken M1]]/4)</f>
        <v/>
      </c>
      <c r="S6" s="23" t="str">
        <f>IF(Viadere[[#This Row],[Model 1
(eis M1 t/m M27)]]="","",Viadere[[#This Row],['# kleur afdrukken M1]]/4)</f>
        <v/>
      </c>
      <c r="T6" s="23">
        <f>IF(Viadere[[#This Row],[Model 2
(eis M1 t/m M27)]]="","",Viadere[[#This Row],['# zw/w afdrukken M2]]/4)</f>
        <v>203868</v>
      </c>
      <c r="U6" s="23">
        <f>IF(Viadere[[#This Row],[Model 2
(eis M1 t/m M27)]]="","",Viadere[[#This Row],['# kleur afdrukken M2]]/4)</f>
        <v>141572</v>
      </c>
    </row>
    <row r="7" spans="1:21" x14ac:dyDescent="0.35">
      <c r="A7" s="1" t="s">
        <v>78</v>
      </c>
      <c r="B7" s="1"/>
      <c r="C7" t="s">
        <v>88</v>
      </c>
      <c r="D7" t="s">
        <v>97</v>
      </c>
      <c r="E7" t="s">
        <v>54</v>
      </c>
      <c r="F7" s="20"/>
      <c r="G7" s="20">
        <v>1</v>
      </c>
      <c r="H7" s="70">
        <v>45292</v>
      </c>
      <c r="I7" s="23">
        <v>195332</v>
      </c>
      <c r="J7" s="23">
        <v>73588</v>
      </c>
      <c r="K7" s="23">
        <f>Viadere[[#This Row],[Zw/w p/j]]/12</f>
        <v>16277.666666666666</v>
      </c>
      <c r="L7" s="23">
        <f>Viadere[[#This Row],[Kleur p/j]]/12</f>
        <v>6132.333333333333</v>
      </c>
      <c r="M7" s="74">
        <v>48</v>
      </c>
      <c r="N7" s="23" t="str">
        <f>IF(Viadere[[#This Row],[Model 1
(eis M1 t/m M27)]]="","",Viadere[[#This Row],[Zw/w p/m]]*Viadere[[#This Row],[Aantal maanden]])</f>
        <v/>
      </c>
      <c r="O7" s="23" t="str">
        <f>IF(Viadere[[#This Row],[Model 1
(eis M1 t/m M27)]]="","",Viadere[[#This Row],[kleur p/m]]*Viadere[[#This Row],[Aantal maanden]])</f>
        <v/>
      </c>
      <c r="P7" s="23">
        <f>IF(Viadere[[#This Row],[Model 2
(eis M1 t/m M27)]]="","",Viadere[[#This Row],[Zw/w p/m]]*Viadere[[#This Row],[Aantal maanden]])</f>
        <v>781328</v>
      </c>
      <c r="Q7" s="23">
        <f>IF(Viadere[[#This Row],[Model 2
(eis M1 t/m M27)]]="","",Viadere[[#This Row],[kleur p/m]]*Viadere[[#This Row],[Aantal maanden]])</f>
        <v>294352</v>
      </c>
      <c r="R7" s="23" t="str">
        <f>IF(Viadere[[#This Row],[Model 1
(eis M1 t/m M27)]]="","",Viadere[[#This Row],['# zw/w afdrukken M1]]/4)</f>
        <v/>
      </c>
      <c r="S7" s="23" t="str">
        <f>IF(Viadere[[#This Row],[Model 1
(eis M1 t/m M27)]]="","",Viadere[[#This Row],['# kleur afdrukken M1]]/4)</f>
        <v/>
      </c>
      <c r="T7" s="23">
        <f>IF(Viadere[[#This Row],[Model 2
(eis M1 t/m M27)]]="","",Viadere[[#This Row],['# zw/w afdrukken M2]]/4)</f>
        <v>195332</v>
      </c>
      <c r="U7" s="23">
        <f>IF(Viadere[[#This Row],[Model 2
(eis M1 t/m M27)]]="","",Viadere[[#This Row],['# kleur afdrukken M2]]/4)</f>
        <v>73588</v>
      </c>
    </row>
    <row r="8" spans="1:21" x14ac:dyDescent="0.35">
      <c r="A8" s="1" t="s">
        <v>79</v>
      </c>
      <c r="B8" s="1"/>
      <c r="C8" t="s">
        <v>89</v>
      </c>
      <c r="D8" t="s">
        <v>98</v>
      </c>
      <c r="E8" t="s">
        <v>54</v>
      </c>
      <c r="F8" s="20"/>
      <c r="G8" s="20">
        <v>1</v>
      </c>
      <c r="H8" s="70">
        <v>45292</v>
      </c>
      <c r="I8" s="23">
        <v>349492</v>
      </c>
      <c r="J8" s="23">
        <v>334372</v>
      </c>
      <c r="K8" s="23">
        <f>Viadere[[#This Row],[Zw/w p/j]]/12</f>
        <v>29124.333333333332</v>
      </c>
      <c r="L8" s="23">
        <f>Viadere[[#This Row],[Kleur p/j]]/12</f>
        <v>27864.333333333332</v>
      </c>
      <c r="M8" s="74">
        <v>48</v>
      </c>
      <c r="N8" s="23" t="str">
        <f>IF(Viadere[[#This Row],[Model 1
(eis M1 t/m M27)]]="","",Viadere[[#This Row],[Zw/w p/m]]*Viadere[[#This Row],[Aantal maanden]])</f>
        <v/>
      </c>
      <c r="O8" s="23" t="str">
        <f>IF(Viadere[[#This Row],[Model 1
(eis M1 t/m M27)]]="","",Viadere[[#This Row],[kleur p/m]]*Viadere[[#This Row],[Aantal maanden]])</f>
        <v/>
      </c>
      <c r="P8" s="23">
        <f>IF(Viadere[[#This Row],[Model 2
(eis M1 t/m M27)]]="","",Viadere[[#This Row],[Zw/w p/m]]*Viadere[[#This Row],[Aantal maanden]])</f>
        <v>1397968</v>
      </c>
      <c r="Q8" s="23">
        <f>IF(Viadere[[#This Row],[Model 2
(eis M1 t/m M27)]]="","",Viadere[[#This Row],[kleur p/m]]*Viadere[[#This Row],[Aantal maanden]])</f>
        <v>1337488</v>
      </c>
      <c r="R8" s="23" t="str">
        <f>IF(Viadere[[#This Row],[Model 1
(eis M1 t/m M27)]]="","",Viadere[[#This Row],['# zw/w afdrukken M1]]/4)</f>
        <v/>
      </c>
      <c r="S8" s="23" t="str">
        <f>IF(Viadere[[#This Row],[Model 1
(eis M1 t/m M27)]]="","",Viadere[[#This Row],['# kleur afdrukken M1]]/4)</f>
        <v/>
      </c>
      <c r="T8" s="23">
        <f>IF(Viadere[[#This Row],[Model 2
(eis M1 t/m M27)]]="","",Viadere[[#This Row],['# zw/w afdrukken M2]]/4)</f>
        <v>349492</v>
      </c>
      <c r="U8" s="23">
        <f>IF(Viadere[[#This Row],[Model 2
(eis M1 t/m M27)]]="","",Viadere[[#This Row],['# kleur afdrukken M2]]/4)</f>
        <v>334372</v>
      </c>
    </row>
    <row r="9" spans="1:21" s="5" customFormat="1" x14ac:dyDescent="0.35">
      <c r="A9" s="1" t="s">
        <v>79</v>
      </c>
      <c r="B9" s="1" t="s">
        <v>119</v>
      </c>
      <c r="C9" t="s">
        <v>120</v>
      </c>
      <c r="D9" t="s">
        <v>121</v>
      </c>
      <c r="E9" t="s">
        <v>54</v>
      </c>
      <c r="F9" s="20">
        <v>1</v>
      </c>
      <c r="G9" s="20"/>
      <c r="H9" s="70">
        <v>45292</v>
      </c>
      <c r="I9" s="23">
        <f>146848</f>
        <v>146848</v>
      </c>
      <c r="J9" s="23">
        <f>195188</f>
        <v>195188</v>
      </c>
      <c r="K9" s="23">
        <f>Viadere[[#This Row],[Zw/w p/j]]/12</f>
        <v>12237.333333333334</v>
      </c>
      <c r="L9" s="23">
        <f>Viadere[[#This Row],[Kleur p/j]]/12</f>
        <v>16265.666666666666</v>
      </c>
      <c r="M9" s="74">
        <v>48</v>
      </c>
      <c r="N9" s="23">
        <f>IF(Viadere[[#This Row],[Model 1
(eis M1 t/m M27)]]="","",Viadere[[#This Row],[Zw/w p/m]]*Viadere[[#This Row],[Aantal maanden]])</f>
        <v>587392</v>
      </c>
      <c r="O9" s="23">
        <f>IF(Viadere[[#This Row],[Model 1
(eis M1 t/m M27)]]="","",Viadere[[#This Row],[kleur p/m]]*Viadere[[#This Row],[Aantal maanden]])</f>
        <v>780752</v>
      </c>
      <c r="P9" s="23" t="str">
        <f>IF(Viadere[[#This Row],[Model 2
(eis M1 t/m M27)]]="","",Viadere[[#This Row],[Zw/w p/m]]*Viadere[[#This Row],[Aantal maanden]])</f>
        <v/>
      </c>
      <c r="Q9" s="23" t="str">
        <f>IF(Viadere[[#This Row],[Model 2
(eis M1 t/m M27)]]="","",Viadere[[#This Row],[kleur p/m]]*Viadere[[#This Row],[Aantal maanden]])</f>
        <v/>
      </c>
      <c r="R9" s="23">
        <f>IF(Viadere[[#This Row],[Model 1
(eis M1 t/m M27)]]="","",Viadere[[#This Row],['# zw/w afdrukken M1]]/4)</f>
        <v>146848</v>
      </c>
      <c r="S9" s="23">
        <f>IF(Viadere[[#This Row],[Model 1
(eis M1 t/m M27)]]="","",Viadere[[#This Row],['# kleur afdrukken M1]]/4)</f>
        <v>195188</v>
      </c>
      <c r="T9" s="23" t="str">
        <f>IF(Viadere[[#This Row],[Model 2
(eis M1 t/m M27)]]="","",Viadere[[#This Row],['# zw/w afdrukken M2]]/4)</f>
        <v/>
      </c>
      <c r="U9" s="23" t="str">
        <f>IF(Viadere[[#This Row],[Model 2
(eis M1 t/m M27)]]="","",Viadere[[#This Row],['# kleur afdrukken M2]]/4)</f>
        <v/>
      </c>
    </row>
    <row r="10" spans="1:21" s="5" customFormat="1" x14ac:dyDescent="0.35">
      <c r="A10" s="1" t="s">
        <v>79</v>
      </c>
      <c r="B10" s="1" t="s">
        <v>119</v>
      </c>
      <c r="C10" t="s">
        <v>120</v>
      </c>
      <c r="D10" t="s">
        <v>121</v>
      </c>
      <c r="E10" t="s">
        <v>54</v>
      </c>
      <c r="F10" s="20"/>
      <c r="G10" s="20">
        <v>1</v>
      </c>
      <c r="H10" s="70">
        <v>45292</v>
      </c>
      <c r="I10" s="23">
        <f>402760</f>
        <v>402760</v>
      </c>
      <c r="J10" s="23">
        <f>421472</f>
        <v>421472</v>
      </c>
      <c r="K10" s="23">
        <f>Viadere[[#This Row],[Zw/w p/j]]/12</f>
        <v>33563.333333333336</v>
      </c>
      <c r="L10" s="23">
        <f>Viadere[[#This Row],[Kleur p/j]]/12</f>
        <v>35122.666666666664</v>
      </c>
      <c r="M10" s="74">
        <v>48</v>
      </c>
      <c r="N10" s="23" t="str">
        <f>IF(Viadere[[#This Row],[Model 1
(eis M1 t/m M27)]]="","",Viadere[[#This Row],[Zw/w p/m]]*Viadere[[#This Row],[Aantal maanden]])</f>
        <v/>
      </c>
      <c r="O10" s="23" t="str">
        <f>IF(Viadere[[#This Row],[Model 1
(eis M1 t/m M27)]]="","",Viadere[[#This Row],[kleur p/m]]*Viadere[[#This Row],[Aantal maanden]])</f>
        <v/>
      </c>
      <c r="P10" s="23">
        <f>IF(Viadere[[#This Row],[Model 2
(eis M1 t/m M27)]]="","",Viadere[[#This Row],[Zw/w p/m]]*Viadere[[#This Row],[Aantal maanden]])</f>
        <v>1611040</v>
      </c>
      <c r="Q10" s="23">
        <f>IF(Viadere[[#This Row],[Model 2
(eis M1 t/m M27)]]="","",Viadere[[#This Row],[kleur p/m]]*Viadere[[#This Row],[Aantal maanden]])</f>
        <v>1685888</v>
      </c>
      <c r="R10" s="23" t="str">
        <f>IF(Viadere[[#This Row],[Model 1
(eis M1 t/m M27)]]="","",Viadere[[#This Row],['# zw/w afdrukken M1]]/4)</f>
        <v/>
      </c>
      <c r="S10" s="23" t="str">
        <f>IF(Viadere[[#This Row],[Model 1
(eis M1 t/m M27)]]="","",Viadere[[#This Row],['# kleur afdrukken M1]]/4)</f>
        <v/>
      </c>
      <c r="T10" s="23">
        <f>IF(Viadere[[#This Row],[Model 2
(eis M1 t/m M27)]]="","",Viadere[[#This Row],['# zw/w afdrukken M2]]/4)</f>
        <v>402760</v>
      </c>
      <c r="U10" s="23">
        <f>IF(Viadere[[#This Row],[Model 2
(eis M1 t/m M27)]]="","",Viadere[[#This Row],['# kleur afdrukken M2]]/4)</f>
        <v>421472</v>
      </c>
    </row>
    <row r="11" spans="1:21" s="5" customFormat="1" x14ac:dyDescent="0.35">
      <c r="A11" s="1" t="s">
        <v>79</v>
      </c>
      <c r="B11" s="1" t="s">
        <v>135</v>
      </c>
      <c r="C11" t="s">
        <v>136</v>
      </c>
      <c r="D11" s="83" t="s">
        <v>137</v>
      </c>
      <c r="E11" t="s">
        <v>138</v>
      </c>
      <c r="F11" s="20">
        <v>1</v>
      </c>
      <c r="G11" s="20"/>
      <c r="H11" s="70">
        <v>45292</v>
      </c>
      <c r="I11" s="23">
        <v>67064</v>
      </c>
      <c r="J11" s="23">
        <v>111176</v>
      </c>
      <c r="K11" s="23">
        <f>Viadere[[#This Row],[Zw/w p/j]]/12</f>
        <v>5588.666666666667</v>
      </c>
      <c r="L11" s="23">
        <f>Viadere[[#This Row],[Kleur p/j]]/12</f>
        <v>9264.6666666666661</v>
      </c>
      <c r="M11" s="74">
        <v>48</v>
      </c>
      <c r="N11" s="23">
        <f>IF(Viadere[[#This Row],[Model 1
(eis M1 t/m M27)]]="","",Viadere[[#This Row],[Zw/w p/m]]*Viadere[[#This Row],[Aantal maanden]])</f>
        <v>268256</v>
      </c>
      <c r="O11" s="23">
        <f>IF(Viadere[[#This Row],[Model 1
(eis M1 t/m M27)]]="","",Viadere[[#This Row],[kleur p/m]]*Viadere[[#This Row],[Aantal maanden]])</f>
        <v>444704</v>
      </c>
      <c r="P11" s="23" t="str">
        <f>IF(Viadere[[#This Row],[Model 2
(eis M1 t/m M27)]]="","",Viadere[[#This Row],[Zw/w p/m]]*Viadere[[#This Row],[Aantal maanden]])</f>
        <v/>
      </c>
      <c r="Q11" s="23" t="str">
        <f>IF(Viadere[[#This Row],[Model 2
(eis M1 t/m M27)]]="","",Viadere[[#This Row],[kleur p/m]]*Viadere[[#This Row],[Aantal maanden]])</f>
        <v/>
      </c>
      <c r="R11" s="23">
        <f>IF(Viadere[[#This Row],[Model 1
(eis M1 t/m M27)]]="","",Viadere[[#This Row],['# zw/w afdrukken M1]]/4)</f>
        <v>67064</v>
      </c>
      <c r="S11" s="23">
        <f>IF(Viadere[[#This Row],[Model 1
(eis M1 t/m M27)]]="","",Viadere[[#This Row],['# kleur afdrukken M1]]/4)</f>
        <v>111176</v>
      </c>
      <c r="T11" s="23" t="str">
        <f>IF(Viadere[[#This Row],[Model 2
(eis M1 t/m M27)]]="","",Viadere[[#This Row],['# zw/w afdrukken M2]]/4)</f>
        <v/>
      </c>
      <c r="U11" s="23" t="str">
        <f>IF(Viadere[[#This Row],[Model 2
(eis M1 t/m M27)]]="","",Viadere[[#This Row],['# kleur afdrukken M2]]/4)</f>
        <v/>
      </c>
    </row>
    <row r="12" spans="1:21" s="5" customFormat="1" x14ac:dyDescent="0.35">
      <c r="A12" s="58" t="s">
        <v>80</v>
      </c>
      <c r="B12" s="58"/>
      <c r="C12" t="s">
        <v>90</v>
      </c>
      <c r="D12" s="83" t="s">
        <v>99</v>
      </c>
      <c r="E12" t="s">
        <v>54</v>
      </c>
      <c r="F12" s="20"/>
      <c r="G12" s="59">
        <v>1</v>
      </c>
      <c r="H12" s="70">
        <v>45292</v>
      </c>
      <c r="I12" s="23">
        <v>128476</v>
      </c>
      <c r="J12" s="23">
        <v>94800</v>
      </c>
      <c r="K12" s="23">
        <f>Viadere[[#This Row],[Zw/w p/j]]/12</f>
        <v>10706.333333333334</v>
      </c>
      <c r="L12" s="23">
        <f>Viadere[[#This Row],[Kleur p/j]]/12</f>
        <v>7900</v>
      </c>
      <c r="M12" s="74">
        <v>48</v>
      </c>
      <c r="N12" s="23" t="str">
        <f>IF(Viadere[[#This Row],[Model 1
(eis M1 t/m M27)]]="","",Viadere[[#This Row],[Zw/w p/m]]*Viadere[[#This Row],[Aantal maanden]])</f>
        <v/>
      </c>
      <c r="O12" s="23" t="str">
        <f>IF(Viadere[[#This Row],[Model 1
(eis M1 t/m M27)]]="","",Viadere[[#This Row],[kleur p/m]]*Viadere[[#This Row],[Aantal maanden]])</f>
        <v/>
      </c>
      <c r="P12" s="23">
        <f>IF(Viadere[[#This Row],[Model 2
(eis M1 t/m M27)]]="","",Viadere[[#This Row],[Zw/w p/m]]*Viadere[[#This Row],[Aantal maanden]])</f>
        <v>513904</v>
      </c>
      <c r="Q12" s="23">
        <f>IF(Viadere[[#This Row],[Model 2
(eis M1 t/m M27)]]="","",Viadere[[#This Row],[kleur p/m]]*Viadere[[#This Row],[Aantal maanden]])</f>
        <v>379200</v>
      </c>
      <c r="R12" s="23" t="str">
        <f>IF(Viadere[[#This Row],[Model 1
(eis M1 t/m M27)]]="","",Viadere[[#This Row],['# zw/w afdrukken M1]]/4)</f>
        <v/>
      </c>
      <c r="S12" s="23" t="str">
        <f>IF(Viadere[[#This Row],[Model 1
(eis M1 t/m M27)]]="","",Viadere[[#This Row],['# kleur afdrukken M1]]/4)</f>
        <v/>
      </c>
      <c r="T12" s="23">
        <f>IF(Viadere[[#This Row],[Model 2
(eis M1 t/m M27)]]="","",Viadere[[#This Row],['# zw/w afdrukken M2]]/4)</f>
        <v>128476</v>
      </c>
      <c r="U12" s="23">
        <f>IF(Viadere[[#This Row],[Model 2
(eis M1 t/m M27)]]="","",Viadere[[#This Row],['# kleur afdrukken M2]]/4)</f>
        <v>94800</v>
      </c>
    </row>
    <row r="13" spans="1:21" s="5" customFormat="1" x14ac:dyDescent="0.35">
      <c r="A13" s="1" t="s">
        <v>81</v>
      </c>
      <c r="B13" s="58"/>
      <c r="C13" t="s">
        <v>91</v>
      </c>
      <c r="D13" t="s">
        <v>100</v>
      </c>
      <c r="E13" t="s">
        <v>54</v>
      </c>
      <c r="F13" s="20"/>
      <c r="G13" s="59">
        <v>1</v>
      </c>
      <c r="H13" s="70">
        <v>45292</v>
      </c>
      <c r="I13" s="23">
        <v>43932</v>
      </c>
      <c r="J13" s="23">
        <v>111132</v>
      </c>
      <c r="K13" s="23">
        <f>Viadere[[#This Row],[Zw/w p/j]]/12</f>
        <v>3661</v>
      </c>
      <c r="L13" s="23">
        <f>Viadere[[#This Row],[Kleur p/j]]/12</f>
        <v>9261</v>
      </c>
      <c r="M13" s="74">
        <v>48</v>
      </c>
      <c r="N13" s="23" t="str">
        <f>IF(Viadere[[#This Row],[Model 1
(eis M1 t/m M27)]]="","",Viadere[[#This Row],[Zw/w p/m]]*Viadere[[#This Row],[Aantal maanden]])</f>
        <v/>
      </c>
      <c r="O13" s="23" t="str">
        <f>IF(Viadere[[#This Row],[Model 1
(eis M1 t/m M27)]]="","",Viadere[[#This Row],[kleur p/m]]*Viadere[[#This Row],[Aantal maanden]])</f>
        <v/>
      </c>
      <c r="P13" s="23">
        <f>IF(Viadere[[#This Row],[Model 2
(eis M1 t/m M27)]]="","",Viadere[[#This Row],[Zw/w p/m]]*Viadere[[#This Row],[Aantal maanden]])</f>
        <v>175728</v>
      </c>
      <c r="Q13" s="23">
        <f>IF(Viadere[[#This Row],[Model 2
(eis M1 t/m M27)]]="","",Viadere[[#This Row],[kleur p/m]]*Viadere[[#This Row],[Aantal maanden]])</f>
        <v>444528</v>
      </c>
      <c r="R13" s="23" t="str">
        <f>IF(Viadere[[#This Row],[Model 1
(eis M1 t/m M27)]]="","",Viadere[[#This Row],['# zw/w afdrukken M1]]/4)</f>
        <v/>
      </c>
      <c r="S13" s="23" t="str">
        <f>IF(Viadere[[#This Row],[Model 1
(eis M1 t/m M27)]]="","",Viadere[[#This Row],['# kleur afdrukken M1]]/4)</f>
        <v/>
      </c>
      <c r="T13" s="23">
        <f>IF(Viadere[[#This Row],[Model 2
(eis M1 t/m M27)]]="","",Viadere[[#This Row],['# zw/w afdrukken M2]]/4)</f>
        <v>43932</v>
      </c>
      <c r="U13" s="23">
        <f>IF(Viadere[[#This Row],[Model 2
(eis M1 t/m M27)]]="","",Viadere[[#This Row],['# kleur afdrukken M2]]/4)</f>
        <v>111132</v>
      </c>
    </row>
    <row r="14" spans="1:21" s="5" customFormat="1" x14ac:dyDescent="0.35">
      <c r="A14" s="1" t="s">
        <v>139</v>
      </c>
      <c r="B14" s="58"/>
      <c r="C14" t="s">
        <v>92</v>
      </c>
      <c r="D14" t="s">
        <v>94</v>
      </c>
      <c r="E14" t="s">
        <v>54</v>
      </c>
      <c r="F14" s="20"/>
      <c r="G14" s="59">
        <v>1</v>
      </c>
      <c r="H14" s="70">
        <v>45292</v>
      </c>
      <c r="I14" s="23">
        <v>129400</v>
      </c>
      <c r="J14" s="23">
        <v>119056</v>
      </c>
      <c r="K14" s="23">
        <f>Viadere[[#This Row],[Zw/w p/j]]/12</f>
        <v>10783.333333333334</v>
      </c>
      <c r="L14" s="23">
        <f>Viadere[[#This Row],[Kleur p/j]]/12</f>
        <v>9921.3333333333339</v>
      </c>
      <c r="M14" s="74">
        <v>48</v>
      </c>
      <c r="N14" s="23" t="str">
        <f>IF(Viadere[[#This Row],[Model 1
(eis M1 t/m M27)]]="","",Viadere[[#This Row],[Zw/w p/m]]*Viadere[[#This Row],[Aantal maanden]])</f>
        <v/>
      </c>
      <c r="O14" s="23" t="str">
        <f>IF(Viadere[[#This Row],[Model 1
(eis M1 t/m M27)]]="","",Viadere[[#This Row],[kleur p/m]]*Viadere[[#This Row],[Aantal maanden]])</f>
        <v/>
      </c>
      <c r="P14" s="23">
        <f>IF(Viadere[[#This Row],[Model 2
(eis M1 t/m M27)]]="","",Viadere[[#This Row],[Zw/w p/m]]*Viadere[[#This Row],[Aantal maanden]])</f>
        <v>517600</v>
      </c>
      <c r="Q14" s="23">
        <f>IF(Viadere[[#This Row],[Model 2
(eis M1 t/m M27)]]="","",Viadere[[#This Row],[kleur p/m]]*Viadere[[#This Row],[Aantal maanden]])</f>
        <v>476224</v>
      </c>
      <c r="R14" s="23" t="str">
        <f>IF(Viadere[[#This Row],[Model 1
(eis M1 t/m M27)]]="","",Viadere[[#This Row],['# zw/w afdrukken M1]]/4)</f>
        <v/>
      </c>
      <c r="S14" s="23" t="str">
        <f>IF(Viadere[[#This Row],[Model 1
(eis M1 t/m M27)]]="","",Viadere[[#This Row],['# kleur afdrukken M1]]/4)</f>
        <v/>
      </c>
      <c r="T14" s="23">
        <f>IF(Viadere[[#This Row],[Model 2
(eis M1 t/m M27)]]="","",Viadere[[#This Row],['# zw/w afdrukken M2]]/4)</f>
        <v>129400</v>
      </c>
      <c r="U14" s="23">
        <f>IF(Viadere[[#This Row],[Model 2
(eis M1 t/m M27)]]="","",Viadere[[#This Row],['# kleur afdrukken M2]]/4)</f>
        <v>119056</v>
      </c>
    </row>
    <row r="15" spans="1:21" s="5" customFormat="1" x14ac:dyDescent="0.35">
      <c r="A15" s="1" t="s">
        <v>82</v>
      </c>
      <c r="B15" s="58" t="s">
        <v>85</v>
      </c>
      <c r="C15" t="s">
        <v>93</v>
      </c>
      <c r="D15" t="s">
        <v>101</v>
      </c>
      <c r="E15" t="s">
        <v>54</v>
      </c>
      <c r="F15" s="20"/>
      <c r="G15" s="20">
        <v>1</v>
      </c>
      <c r="H15" s="70">
        <v>45292</v>
      </c>
      <c r="I15" s="23">
        <v>129460</v>
      </c>
      <c r="J15" s="23">
        <v>318584</v>
      </c>
      <c r="K15" s="23">
        <f>Viadere[[#This Row],[Zw/w p/j]]/12</f>
        <v>10788.333333333334</v>
      </c>
      <c r="L15" s="23">
        <f>Viadere[[#This Row],[Kleur p/j]]/12</f>
        <v>26548.666666666668</v>
      </c>
      <c r="M15" s="74">
        <v>48</v>
      </c>
      <c r="N15" s="23" t="str">
        <f>IF(Viadere[[#This Row],[Model 1
(eis M1 t/m M27)]]="","",Viadere[[#This Row],[Zw/w p/m]]*Viadere[[#This Row],[Aantal maanden]])</f>
        <v/>
      </c>
      <c r="O15" s="23" t="str">
        <f>IF(Viadere[[#This Row],[Model 1
(eis M1 t/m M27)]]="","",Viadere[[#This Row],[kleur p/m]]*Viadere[[#This Row],[Aantal maanden]])</f>
        <v/>
      </c>
      <c r="P15" s="23">
        <f>IF(Viadere[[#This Row],[Model 2
(eis M1 t/m M27)]]="","",Viadere[[#This Row],[Zw/w p/m]]*Viadere[[#This Row],[Aantal maanden]])</f>
        <v>517840</v>
      </c>
      <c r="Q15" s="23">
        <f>IF(Viadere[[#This Row],[Model 2
(eis M1 t/m M27)]]="","",Viadere[[#This Row],[kleur p/m]]*Viadere[[#This Row],[Aantal maanden]])</f>
        <v>1274336</v>
      </c>
      <c r="R15" s="23" t="str">
        <f>IF(Viadere[[#This Row],[Model 1
(eis M1 t/m M27)]]="","",Viadere[[#This Row],['# zw/w afdrukken M1]]/4)</f>
        <v/>
      </c>
      <c r="S15" s="23" t="str">
        <f>IF(Viadere[[#This Row],[Model 1
(eis M1 t/m M27)]]="","",Viadere[[#This Row],['# kleur afdrukken M1]]/4)</f>
        <v/>
      </c>
      <c r="T15" s="23">
        <f>IF(Viadere[[#This Row],[Model 2
(eis M1 t/m M27)]]="","",Viadere[[#This Row],['# zw/w afdrukken M2]]/4)</f>
        <v>129460</v>
      </c>
      <c r="U15" s="23">
        <f>IF(Viadere[[#This Row],[Model 2
(eis M1 t/m M27)]]="","",Viadere[[#This Row],['# kleur afdrukken M2]]/4)</f>
        <v>318584</v>
      </c>
    </row>
    <row r="16" spans="1:21" s="5" customFormat="1" x14ac:dyDescent="0.35">
      <c r="A16" s="1" t="s">
        <v>83</v>
      </c>
      <c r="B16" s="1" t="s">
        <v>86</v>
      </c>
      <c r="C16" t="s">
        <v>96</v>
      </c>
      <c r="D16" t="s">
        <v>102</v>
      </c>
      <c r="E16" t="s">
        <v>54</v>
      </c>
      <c r="F16" s="20"/>
      <c r="G16" s="20">
        <v>1</v>
      </c>
      <c r="H16" s="70">
        <v>45292</v>
      </c>
      <c r="I16" s="23">
        <v>134620</v>
      </c>
      <c r="J16" s="23">
        <v>178832</v>
      </c>
      <c r="K16" s="23">
        <f>Viadere[[#This Row],[Zw/w p/j]]/12</f>
        <v>11218.333333333334</v>
      </c>
      <c r="L16" s="23">
        <f>Viadere[[#This Row],[Kleur p/j]]/12</f>
        <v>14902.666666666666</v>
      </c>
      <c r="M16" s="74">
        <v>48</v>
      </c>
      <c r="N16" s="23" t="str">
        <f>IF(Viadere[[#This Row],[Model 1
(eis M1 t/m M27)]]="","",Viadere[[#This Row],[Zw/w p/m]]*Viadere[[#This Row],[Aantal maanden]])</f>
        <v/>
      </c>
      <c r="O16" s="23" t="str">
        <f>IF(Viadere[[#This Row],[Model 1
(eis M1 t/m M27)]]="","",Viadere[[#This Row],[kleur p/m]]*Viadere[[#This Row],[Aantal maanden]])</f>
        <v/>
      </c>
      <c r="P16" s="23">
        <f>IF(Viadere[[#This Row],[Model 2
(eis M1 t/m M27)]]="","",Viadere[[#This Row],[Zw/w p/m]]*Viadere[[#This Row],[Aantal maanden]])</f>
        <v>538480</v>
      </c>
      <c r="Q16" s="23">
        <f>IF(Viadere[[#This Row],[Model 2
(eis M1 t/m M27)]]="","",Viadere[[#This Row],[kleur p/m]]*Viadere[[#This Row],[Aantal maanden]])</f>
        <v>715328</v>
      </c>
      <c r="R16" s="23" t="str">
        <f>IF(Viadere[[#This Row],[Model 1
(eis M1 t/m M27)]]="","",Viadere[[#This Row],['# zw/w afdrukken M1]]/4)</f>
        <v/>
      </c>
      <c r="S16" s="23" t="str">
        <f>IF(Viadere[[#This Row],[Model 1
(eis M1 t/m M27)]]="","",Viadere[[#This Row],['# kleur afdrukken M1]]/4)</f>
        <v/>
      </c>
      <c r="T16" s="23">
        <f>IF(Viadere[[#This Row],[Model 2
(eis M1 t/m M27)]]="","",Viadere[[#This Row],['# zw/w afdrukken M2]]/4)</f>
        <v>134620</v>
      </c>
      <c r="U16" s="23">
        <f>IF(Viadere[[#This Row],[Model 2
(eis M1 t/m M27)]]="","",Viadere[[#This Row],['# kleur afdrukken M2]]/4)</f>
        <v>178832</v>
      </c>
    </row>
    <row r="17" spans="1:23" s="5" customFormat="1" x14ac:dyDescent="0.35">
      <c r="A17" s="1" t="s">
        <v>84</v>
      </c>
      <c r="B17" s="58" t="s">
        <v>87</v>
      </c>
      <c r="C17" t="s">
        <v>95</v>
      </c>
      <c r="D17" t="s">
        <v>140</v>
      </c>
      <c r="E17" t="s">
        <v>54</v>
      </c>
      <c r="F17" s="20">
        <v>1</v>
      </c>
      <c r="G17" s="20"/>
      <c r="H17" s="70">
        <v>45292</v>
      </c>
      <c r="I17" s="23">
        <f>94592</f>
        <v>94592</v>
      </c>
      <c r="J17" s="23">
        <f>55744</f>
        <v>55744</v>
      </c>
      <c r="K17" s="23">
        <f>Viadere[[#This Row],[Zw/w p/j]]/12</f>
        <v>7882.666666666667</v>
      </c>
      <c r="L17" s="23">
        <f>Viadere[[#This Row],[Kleur p/j]]/12</f>
        <v>4645.333333333333</v>
      </c>
      <c r="M17" s="86">
        <v>48</v>
      </c>
      <c r="N17" s="23">
        <f>IF(Viadere[[#This Row],[Model 1
(eis M1 t/m M27)]]="","",Viadere[[#This Row],[Zw/w p/m]]*Viadere[[#This Row],[Aantal maanden]])</f>
        <v>378368</v>
      </c>
      <c r="O17" s="23">
        <f>IF(Viadere[[#This Row],[Model 1
(eis M1 t/m M27)]]="","",Viadere[[#This Row],[kleur p/m]]*Viadere[[#This Row],[Aantal maanden]])</f>
        <v>222976</v>
      </c>
      <c r="P17" s="23" t="str">
        <f>IF(Viadere[[#This Row],[Model 2
(eis M1 t/m M27)]]="","",Viadere[[#This Row],[Zw/w p/m]]*Viadere[[#This Row],[Aantal maanden]])</f>
        <v/>
      </c>
      <c r="Q17" s="23" t="str">
        <f>IF(Viadere[[#This Row],[Model 2
(eis M1 t/m M27)]]="","",Viadere[[#This Row],[kleur p/m]]*Viadere[[#This Row],[Aantal maanden]])</f>
        <v/>
      </c>
      <c r="R17" s="23">
        <f>IF(Viadere[[#This Row],[Model 1
(eis M1 t/m M27)]]="","",Viadere[[#This Row],['# zw/w afdrukken M1]]/4)</f>
        <v>94592</v>
      </c>
      <c r="S17" s="23">
        <f>IF(Viadere[[#This Row],[Model 1
(eis M1 t/m M27)]]="","",Viadere[[#This Row],['# kleur afdrukken M1]]/4)</f>
        <v>55744</v>
      </c>
      <c r="T17" s="23" t="str">
        <f>IF(Viadere[[#This Row],[Model 2
(eis M1 t/m M27)]]="","",Viadere[[#This Row],['# zw/w afdrukken M2]]/4)</f>
        <v/>
      </c>
      <c r="U17" s="23" t="str">
        <f>IF(Viadere[[#This Row],[Model 2
(eis M1 t/m M27)]]="","",Viadere[[#This Row],['# kleur afdrukken M2]]/4)</f>
        <v/>
      </c>
    </row>
    <row r="18" spans="1:23" s="5" customFormat="1" x14ac:dyDescent="0.35">
      <c r="A18" s="1" t="s">
        <v>84</v>
      </c>
      <c r="B18" s="58" t="s">
        <v>87</v>
      </c>
      <c r="C18" t="s">
        <v>95</v>
      </c>
      <c r="D18" t="s">
        <v>140</v>
      </c>
      <c r="E18" t="s">
        <v>54</v>
      </c>
      <c r="F18" s="20"/>
      <c r="G18" s="20">
        <v>1</v>
      </c>
      <c r="H18" s="70">
        <v>45292</v>
      </c>
      <c r="I18" s="23">
        <f>251640</f>
        <v>251640</v>
      </c>
      <c r="J18" s="23">
        <f>64576</f>
        <v>64576</v>
      </c>
      <c r="K18" s="23">
        <f>Viadere[[#This Row],[Zw/w p/j]]/12</f>
        <v>20970</v>
      </c>
      <c r="L18" s="23">
        <f>Viadere[[#This Row],[Kleur p/j]]/12</f>
        <v>5381.333333333333</v>
      </c>
      <c r="M18" s="86">
        <v>48</v>
      </c>
      <c r="N18" s="23" t="str">
        <f>IF(Viadere[[#This Row],[Model 1
(eis M1 t/m M27)]]="","",Viadere[[#This Row],[Zw/w p/m]]*Viadere[[#This Row],[Aantal maanden]])</f>
        <v/>
      </c>
      <c r="O18" s="23" t="str">
        <f>IF(Viadere[[#This Row],[Model 1
(eis M1 t/m M27)]]="","",Viadere[[#This Row],[kleur p/m]]*Viadere[[#This Row],[Aantal maanden]])</f>
        <v/>
      </c>
      <c r="P18" s="23">
        <f>IF(Viadere[[#This Row],[Model 2
(eis M1 t/m M27)]]="","",Viadere[[#This Row],[Zw/w p/m]]*Viadere[[#This Row],[Aantal maanden]])</f>
        <v>1006560</v>
      </c>
      <c r="Q18" s="23">
        <f>IF(Viadere[[#This Row],[Model 2
(eis M1 t/m M27)]]="","",Viadere[[#This Row],[kleur p/m]]*Viadere[[#This Row],[Aantal maanden]])</f>
        <v>258304</v>
      </c>
      <c r="R18" s="23" t="str">
        <f>IF(Viadere[[#This Row],[Model 1
(eis M1 t/m M27)]]="","",Viadere[[#This Row],['# zw/w afdrukken M1]]/4)</f>
        <v/>
      </c>
      <c r="S18" s="23" t="str">
        <f>IF(Viadere[[#This Row],[Model 1
(eis M1 t/m M27)]]="","",Viadere[[#This Row],['# kleur afdrukken M1]]/4)</f>
        <v/>
      </c>
      <c r="T18" s="23">
        <f>IF(Viadere[[#This Row],[Model 2
(eis M1 t/m M27)]]="","",Viadere[[#This Row],['# zw/w afdrukken M2]]/4)</f>
        <v>251640</v>
      </c>
      <c r="U18" s="23">
        <f>IF(Viadere[[#This Row],[Model 2
(eis M1 t/m M27)]]="","",Viadere[[#This Row],['# kleur afdrukken M2]]/4)</f>
        <v>64576</v>
      </c>
    </row>
    <row r="19" spans="1:23" s="5" customFormat="1" x14ac:dyDescent="0.35">
      <c r="A19" s="1" t="s">
        <v>141</v>
      </c>
      <c r="B19" s="58"/>
      <c r="C19" t="s">
        <v>142</v>
      </c>
      <c r="D19" t="s">
        <v>143</v>
      </c>
      <c r="E19" t="s">
        <v>54</v>
      </c>
      <c r="F19" s="20">
        <v>1</v>
      </c>
      <c r="G19" s="20"/>
      <c r="H19" s="70">
        <v>45292</v>
      </c>
      <c r="I19" s="23">
        <v>22364</v>
      </c>
      <c r="J19" s="23">
        <v>25648</v>
      </c>
      <c r="K19" s="23">
        <f>Viadere[[#This Row],[Zw/w p/j]]/12</f>
        <v>1863.6666666666667</v>
      </c>
      <c r="L19" s="23">
        <f>Viadere[[#This Row],[Kleur p/j]]/12</f>
        <v>2137.3333333333335</v>
      </c>
      <c r="M19" s="86">
        <v>48</v>
      </c>
      <c r="N19" s="23">
        <f>IF(Viadere[[#This Row],[Model 1
(eis M1 t/m M27)]]="","",Viadere[[#This Row],[Zw/w p/m]]*Viadere[[#This Row],[Aantal maanden]])</f>
        <v>89456</v>
      </c>
      <c r="O19" s="23">
        <f>IF(Viadere[[#This Row],[Model 1
(eis M1 t/m M27)]]="","",Viadere[[#This Row],[kleur p/m]]*Viadere[[#This Row],[Aantal maanden]])</f>
        <v>102592</v>
      </c>
      <c r="P19" s="23" t="str">
        <f>IF(Viadere[[#This Row],[Model 2
(eis M1 t/m M27)]]="","",Viadere[[#This Row],[Zw/w p/m]]*Viadere[[#This Row],[Aantal maanden]])</f>
        <v/>
      </c>
      <c r="Q19" s="23" t="str">
        <f>IF(Viadere[[#This Row],[Model 2
(eis M1 t/m M27)]]="","",Viadere[[#This Row],[kleur p/m]]*Viadere[[#This Row],[Aantal maanden]])</f>
        <v/>
      </c>
      <c r="R19" s="23">
        <f>IF(Viadere[[#This Row],[Model 1
(eis M1 t/m M27)]]="","",Viadere[[#This Row],['# zw/w afdrukken M1]]/4)</f>
        <v>22364</v>
      </c>
      <c r="S19" s="23">
        <f>IF(Viadere[[#This Row],[Model 1
(eis M1 t/m M27)]]="","",Viadere[[#This Row],['# kleur afdrukken M1]]/4)</f>
        <v>25648</v>
      </c>
      <c r="T19" s="23" t="str">
        <f>IF(Viadere[[#This Row],[Model 2
(eis M1 t/m M27)]]="","",Viadere[[#This Row],['# zw/w afdrukken M2]]/4)</f>
        <v/>
      </c>
      <c r="U19" s="23" t="str">
        <f>IF(Viadere[[#This Row],[Model 2
(eis M1 t/m M27)]]="","",Viadere[[#This Row],['# kleur afdrukken M2]]/4)</f>
        <v/>
      </c>
    </row>
    <row r="20" spans="1:23" s="5" customFormat="1" x14ac:dyDescent="0.35">
      <c r="A20" s="1" t="s">
        <v>103</v>
      </c>
      <c r="B20" s="58"/>
      <c r="C20" t="s">
        <v>104</v>
      </c>
      <c r="D20" t="s">
        <v>105</v>
      </c>
      <c r="E20" t="s">
        <v>54</v>
      </c>
      <c r="F20" s="20"/>
      <c r="G20" s="20">
        <v>1</v>
      </c>
      <c r="H20" s="70">
        <v>45292</v>
      </c>
      <c r="I20" s="23">
        <v>132365.71428571429</v>
      </c>
      <c r="J20" s="23">
        <v>76711.428571428565</v>
      </c>
      <c r="K20" s="23">
        <f>Viadere[[#This Row],[Zw/w p/j]]/12</f>
        <v>11030.476190476191</v>
      </c>
      <c r="L20" s="23">
        <f>Viadere[[#This Row],[Kleur p/j]]/12</f>
        <v>6392.6190476190468</v>
      </c>
      <c r="M20" s="86">
        <v>48</v>
      </c>
      <c r="N20" s="23" t="str">
        <f>IF(Viadere[[#This Row],[Model 1
(eis M1 t/m M27)]]="","",Viadere[[#This Row],[Zw/w p/m]]*Viadere[[#This Row],[Aantal maanden]])</f>
        <v/>
      </c>
      <c r="O20" s="23" t="str">
        <f>IF(Viadere[[#This Row],[Model 1
(eis M1 t/m M27)]]="","",Viadere[[#This Row],[kleur p/m]]*Viadere[[#This Row],[Aantal maanden]])</f>
        <v/>
      </c>
      <c r="P20" s="23">
        <f>IF(Viadere[[#This Row],[Model 2
(eis M1 t/m M27)]]="","",Viadere[[#This Row],[Zw/w p/m]]*Viadere[[#This Row],[Aantal maanden]])</f>
        <v>529462.85714285716</v>
      </c>
      <c r="Q20" s="23">
        <f>IF(Viadere[[#This Row],[Model 2
(eis M1 t/m M27)]]="","",Viadere[[#This Row],[kleur p/m]]*Viadere[[#This Row],[Aantal maanden]])</f>
        <v>306845.71428571426</v>
      </c>
      <c r="R20" s="23" t="str">
        <f>IF(Viadere[[#This Row],[Model 1
(eis M1 t/m M27)]]="","",Viadere[[#This Row],['# zw/w afdrukken M1]]/4)</f>
        <v/>
      </c>
      <c r="S20" s="23" t="str">
        <f>IF(Viadere[[#This Row],[Model 1
(eis M1 t/m M27)]]="","",Viadere[[#This Row],['# kleur afdrukken M1]]/4)</f>
        <v/>
      </c>
      <c r="T20" s="23">
        <f>IF(Viadere[[#This Row],[Model 2
(eis M1 t/m M27)]]="","",Viadere[[#This Row],['# zw/w afdrukken M2]]/4)</f>
        <v>132365.71428571429</v>
      </c>
      <c r="U20" s="23">
        <f>IF(Viadere[[#This Row],[Model 2
(eis M1 t/m M27)]]="","",Viadere[[#This Row],['# kleur afdrukken M2]]/4)</f>
        <v>76711.428571428565</v>
      </c>
    </row>
    <row r="21" spans="1:23" s="5" customFormat="1" x14ac:dyDescent="0.35">
      <c r="A21" s="1" t="s">
        <v>106</v>
      </c>
      <c r="B21" s="58"/>
      <c r="C21" t="s">
        <v>107</v>
      </c>
      <c r="D21" t="s">
        <v>99</v>
      </c>
      <c r="E21" t="s">
        <v>54</v>
      </c>
      <c r="F21" s="20">
        <v>1</v>
      </c>
      <c r="G21" s="20"/>
      <c r="H21" s="70">
        <v>45292</v>
      </c>
      <c r="I21" s="23">
        <f>2489</f>
        <v>2489</v>
      </c>
      <c r="J21" s="23">
        <f>4757</f>
        <v>4757</v>
      </c>
      <c r="K21" s="23">
        <f>Viadere[[#This Row],[Zw/w p/j]]/12</f>
        <v>207.41666666666666</v>
      </c>
      <c r="L21" s="23">
        <f>Viadere[[#This Row],[Kleur p/j]]/12</f>
        <v>396.41666666666669</v>
      </c>
      <c r="M21" s="86">
        <v>48</v>
      </c>
      <c r="N21" s="23">
        <f>IF(Viadere[[#This Row],[Model 1
(eis M1 t/m M27)]]="","",Viadere[[#This Row],[Zw/w p/m]]*Viadere[[#This Row],[Aantal maanden]])</f>
        <v>9956</v>
      </c>
      <c r="O21" s="23">
        <f>IF(Viadere[[#This Row],[Model 1
(eis M1 t/m M27)]]="","",Viadere[[#This Row],[kleur p/m]]*Viadere[[#This Row],[Aantal maanden]])</f>
        <v>19028</v>
      </c>
      <c r="P21" s="23" t="str">
        <f>IF(Viadere[[#This Row],[Model 2
(eis M1 t/m M27)]]="","",Viadere[[#This Row],[Zw/w p/m]]*Viadere[[#This Row],[Aantal maanden]])</f>
        <v/>
      </c>
      <c r="Q21" s="23" t="str">
        <f>IF(Viadere[[#This Row],[Model 2
(eis M1 t/m M27)]]="","",Viadere[[#This Row],[kleur p/m]]*Viadere[[#This Row],[Aantal maanden]])</f>
        <v/>
      </c>
      <c r="R21" s="23">
        <f>IF(Viadere[[#This Row],[Model 1
(eis M1 t/m M27)]]="","",Viadere[[#This Row],['# zw/w afdrukken M1]]/4)</f>
        <v>2489</v>
      </c>
      <c r="S21" s="23">
        <f>IF(Viadere[[#This Row],[Model 1
(eis M1 t/m M27)]]="","",Viadere[[#This Row],['# kleur afdrukken M1]]/4)</f>
        <v>4757</v>
      </c>
      <c r="T21" s="23" t="str">
        <f>IF(Viadere[[#This Row],[Model 2
(eis M1 t/m M27)]]="","",Viadere[[#This Row],['# zw/w afdrukken M2]]/4)</f>
        <v/>
      </c>
      <c r="U21" s="23" t="str">
        <f>IF(Viadere[[#This Row],[Model 2
(eis M1 t/m M27)]]="","",Viadere[[#This Row],['# kleur afdrukken M2]]/4)</f>
        <v/>
      </c>
    </row>
    <row r="22" spans="1:23" s="5" customFormat="1" x14ac:dyDescent="0.35">
      <c r="A22" s="1" t="s">
        <v>106</v>
      </c>
      <c r="B22" s="58"/>
      <c r="C22" t="s">
        <v>107</v>
      </c>
      <c r="D22" t="s">
        <v>99</v>
      </c>
      <c r="E22" t="s">
        <v>54</v>
      </c>
      <c r="F22" s="20"/>
      <c r="G22" s="20">
        <v>1</v>
      </c>
      <c r="H22" s="70">
        <v>45292</v>
      </c>
      <c r="I22" s="23">
        <f>83166</f>
        <v>83166</v>
      </c>
      <c r="J22" s="23">
        <f>69180</f>
        <v>69180</v>
      </c>
      <c r="K22" s="23">
        <f>Viadere[[#This Row],[Zw/w p/j]]/12</f>
        <v>6930.5</v>
      </c>
      <c r="L22" s="23">
        <f>Viadere[[#This Row],[Kleur p/j]]/12</f>
        <v>5765</v>
      </c>
      <c r="M22" s="86">
        <v>48</v>
      </c>
      <c r="N22" s="23" t="str">
        <f>IF(Viadere[[#This Row],[Model 1
(eis M1 t/m M27)]]="","",Viadere[[#This Row],[Zw/w p/m]]*Viadere[[#This Row],[Aantal maanden]])</f>
        <v/>
      </c>
      <c r="O22" s="23" t="str">
        <f>IF(Viadere[[#This Row],[Model 1
(eis M1 t/m M27)]]="","",Viadere[[#This Row],[kleur p/m]]*Viadere[[#This Row],[Aantal maanden]])</f>
        <v/>
      </c>
      <c r="P22" s="23">
        <f>IF(Viadere[[#This Row],[Model 2
(eis M1 t/m M27)]]="","",Viadere[[#This Row],[Zw/w p/m]]*Viadere[[#This Row],[Aantal maanden]])</f>
        <v>332664</v>
      </c>
      <c r="Q22" s="23">
        <f>IF(Viadere[[#This Row],[Model 2
(eis M1 t/m M27)]]="","",Viadere[[#This Row],[kleur p/m]]*Viadere[[#This Row],[Aantal maanden]])</f>
        <v>276720</v>
      </c>
      <c r="R22" s="23" t="str">
        <f>IF(Viadere[[#This Row],[Model 1
(eis M1 t/m M27)]]="","",Viadere[[#This Row],['# zw/w afdrukken M1]]/4)</f>
        <v/>
      </c>
      <c r="S22" s="23" t="str">
        <f>IF(Viadere[[#This Row],[Model 1
(eis M1 t/m M27)]]="","",Viadere[[#This Row],['# kleur afdrukken M1]]/4)</f>
        <v/>
      </c>
      <c r="T22" s="23">
        <f>IF(Viadere[[#This Row],[Model 2
(eis M1 t/m M27)]]="","",Viadere[[#This Row],['# zw/w afdrukken M2]]/4)</f>
        <v>83166</v>
      </c>
      <c r="U22" s="23">
        <f>IF(Viadere[[#This Row],[Model 2
(eis M1 t/m M27)]]="","",Viadere[[#This Row],['# kleur afdrukken M2]]/4)</f>
        <v>69180</v>
      </c>
    </row>
    <row r="23" spans="1:23" s="5" customFormat="1" x14ac:dyDescent="0.35">
      <c r="A23" s="1" t="s">
        <v>108</v>
      </c>
      <c r="B23" s="58"/>
      <c r="C23" t="s">
        <v>109</v>
      </c>
      <c r="D23" t="s">
        <v>110</v>
      </c>
      <c r="E23" t="s">
        <v>54</v>
      </c>
      <c r="F23" s="20">
        <v>1</v>
      </c>
      <c r="G23" s="20"/>
      <c r="H23" s="70">
        <v>45292</v>
      </c>
      <c r="I23" s="60">
        <v>39179</v>
      </c>
      <c r="J23" s="60">
        <f>29390</f>
        <v>29390</v>
      </c>
      <c r="K23" s="23">
        <f>Viadere[[#This Row],[Zw/w p/j]]/12</f>
        <v>3264.9166666666665</v>
      </c>
      <c r="L23" s="23">
        <f>Viadere[[#This Row],[Kleur p/j]]/12</f>
        <v>2449.1666666666665</v>
      </c>
      <c r="M23" s="86">
        <v>48</v>
      </c>
      <c r="N23" s="23">
        <f>IF(Viadere[[#This Row],[Model 1
(eis M1 t/m M27)]]="","",Viadere[[#This Row],[Zw/w p/m]]*Viadere[[#This Row],[Aantal maanden]])</f>
        <v>156716</v>
      </c>
      <c r="O23" s="23">
        <f>IF(Viadere[[#This Row],[Model 1
(eis M1 t/m M27)]]="","",Viadere[[#This Row],[kleur p/m]]*Viadere[[#This Row],[Aantal maanden]])</f>
        <v>117560</v>
      </c>
      <c r="P23" s="23" t="str">
        <f>IF(Viadere[[#This Row],[Model 2
(eis M1 t/m M27)]]="","",Viadere[[#This Row],[Zw/w p/m]]*Viadere[[#This Row],[Aantal maanden]])</f>
        <v/>
      </c>
      <c r="Q23" s="23" t="str">
        <f>IF(Viadere[[#This Row],[Model 2
(eis M1 t/m M27)]]="","",Viadere[[#This Row],[kleur p/m]]*Viadere[[#This Row],[Aantal maanden]])</f>
        <v/>
      </c>
      <c r="R23" s="23">
        <f>IF(Viadere[[#This Row],[Model 1
(eis M1 t/m M27)]]="","",Viadere[[#This Row],['# zw/w afdrukken M1]]/4)</f>
        <v>39179</v>
      </c>
      <c r="S23" s="23">
        <f>IF(Viadere[[#This Row],[Model 1
(eis M1 t/m M27)]]="","",Viadere[[#This Row],['# kleur afdrukken M1]]/4)</f>
        <v>29390</v>
      </c>
      <c r="T23" s="23" t="str">
        <f>IF(Viadere[[#This Row],[Model 2
(eis M1 t/m M27)]]="","",Viadere[[#This Row],['# zw/w afdrukken M2]]/4)</f>
        <v/>
      </c>
      <c r="U23" s="23" t="str">
        <f>IF(Viadere[[#This Row],[Model 2
(eis M1 t/m M27)]]="","",Viadere[[#This Row],['# kleur afdrukken M2]]/4)</f>
        <v/>
      </c>
    </row>
    <row r="24" spans="1:23" s="5" customFormat="1" x14ac:dyDescent="0.35">
      <c r="A24" s="1" t="s">
        <v>108</v>
      </c>
      <c r="B24" s="58"/>
      <c r="C24" t="s">
        <v>109</v>
      </c>
      <c r="D24" t="s">
        <v>110</v>
      </c>
      <c r="E24" t="s">
        <v>54</v>
      </c>
      <c r="F24" s="20">
        <v>1</v>
      </c>
      <c r="G24" s="20"/>
      <c r="H24" s="70">
        <v>45292</v>
      </c>
      <c r="I24" s="60">
        <f>39179</f>
        <v>39179</v>
      </c>
      <c r="J24" s="60">
        <f>29390</f>
        <v>29390</v>
      </c>
      <c r="K24" s="23">
        <f>Viadere[[#This Row],[Zw/w p/j]]/12</f>
        <v>3264.9166666666665</v>
      </c>
      <c r="L24" s="23">
        <f>Viadere[[#This Row],[Kleur p/j]]/12</f>
        <v>2449.1666666666665</v>
      </c>
      <c r="M24" s="86">
        <v>48</v>
      </c>
      <c r="N24" s="23">
        <f>IF(Viadere[[#This Row],[Model 1
(eis M1 t/m M27)]]="","",Viadere[[#This Row],[Zw/w p/m]]*Viadere[[#This Row],[Aantal maanden]])</f>
        <v>156716</v>
      </c>
      <c r="O24" s="23">
        <f>IF(Viadere[[#This Row],[Model 1
(eis M1 t/m M27)]]="","",Viadere[[#This Row],[kleur p/m]]*Viadere[[#This Row],[Aantal maanden]])</f>
        <v>117560</v>
      </c>
      <c r="P24" s="23" t="str">
        <f>IF(Viadere[[#This Row],[Model 2
(eis M1 t/m M27)]]="","",Viadere[[#This Row],[Zw/w p/m]]*Viadere[[#This Row],[Aantal maanden]])</f>
        <v/>
      </c>
      <c r="Q24" s="23" t="str">
        <f>IF(Viadere[[#This Row],[Model 2
(eis M1 t/m M27)]]="","",Viadere[[#This Row],[kleur p/m]]*Viadere[[#This Row],[Aantal maanden]])</f>
        <v/>
      </c>
      <c r="R24" s="23">
        <f>IF(Viadere[[#This Row],[Model 1
(eis M1 t/m M27)]]="","",Viadere[[#This Row],['# zw/w afdrukken M1]]/4)</f>
        <v>39179</v>
      </c>
      <c r="S24" s="23">
        <f>IF(Viadere[[#This Row],[Model 1
(eis M1 t/m M27)]]="","",Viadere[[#This Row],['# kleur afdrukken M1]]/4)</f>
        <v>29390</v>
      </c>
      <c r="T24" s="23" t="str">
        <f>IF(Viadere[[#This Row],[Model 2
(eis M1 t/m M27)]]="","",Viadere[[#This Row],['# zw/w afdrukken M2]]/4)</f>
        <v/>
      </c>
      <c r="U24" s="23" t="str">
        <f>IF(Viadere[[#This Row],[Model 2
(eis M1 t/m M27)]]="","",Viadere[[#This Row],['# kleur afdrukken M2]]/4)</f>
        <v/>
      </c>
    </row>
    <row r="25" spans="1:23" s="5" customFormat="1" x14ac:dyDescent="0.35">
      <c r="A25" s="1" t="s">
        <v>108</v>
      </c>
      <c r="B25" s="58"/>
      <c r="C25" t="s">
        <v>109</v>
      </c>
      <c r="D25" t="s">
        <v>110</v>
      </c>
      <c r="E25" t="s">
        <v>54</v>
      </c>
      <c r="F25" s="20"/>
      <c r="G25" s="20">
        <v>1</v>
      </c>
      <c r="H25" s="70">
        <v>45292</v>
      </c>
      <c r="I25" s="60">
        <f>132888</f>
        <v>132888</v>
      </c>
      <c r="J25" s="60">
        <f>138308</f>
        <v>138308</v>
      </c>
      <c r="K25" s="23">
        <f>Viadere[[#This Row],[Zw/w p/j]]/12</f>
        <v>11074</v>
      </c>
      <c r="L25" s="23">
        <f>Viadere[[#This Row],[Kleur p/j]]/12</f>
        <v>11525.666666666666</v>
      </c>
      <c r="M25" s="86">
        <v>48</v>
      </c>
      <c r="N25" s="23" t="str">
        <f>IF(Viadere[[#This Row],[Model 1
(eis M1 t/m M27)]]="","",Viadere[[#This Row],[Zw/w p/m]]*Viadere[[#This Row],[Aantal maanden]])</f>
        <v/>
      </c>
      <c r="O25" s="23" t="str">
        <f>IF(Viadere[[#This Row],[Model 1
(eis M1 t/m M27)]]="","",Viadere[[#This Row],[kleur p/m]]*Viadere[[#This Row],[Aantal maanden]])</f>
        <v/>
      </c>
      <c r="P25" s="23">
        <f>IF(Viadere[[#This Row],[Model 2
(eis M1 t/m M27)]]="","",Viadere[[#This Row],[Zw/w p/m]]*Viadere[[#This Row],[Aantal maanden]])</f>
        <v>531552</v>
      </c>
      <c r="Q25" s="23">
        <f>IF(Viadere[[#This Row],[Model 2
(eis M1 t/m M27)]]="","",Viadere[[#This Row],[kleur p/m]]*Viadere[[#This Row],[Aantal maanden]])</f>
        <v>553232</v>
      </c>
      <c r="R25" s="23" t="str">
        <f>IF(Viadere[[#This Row],[Model 1
(eis M1 t/m M27)]]="","",Viadere[[#This Row],['# zw/w afdrukken M1]]/4)</f>
        <v/>
      </c>
      <c r="S25" s="23" t="str">
        <f>IF(Viadere[[#This Row],[Model 1
(eis M1 t/m M27)]]="","",Viadere[[#This Row],['# kleur afdrukken M1]]/4)</f>
        <v/>
      </c>
      <c r="T25" s="23">
        <f>IF(Viadere[[#This Row],[Model 2
(eis M1 t/m M27)]]="","",Viadere[[#This Row],['# zw/w afdrukken M2]]/4)</f>
        <v>132888</v>
      </c>
      <c r="U25" s="23">
        <f>IF(Viadere[[#This Row],[Model 2
(eis M1 t/m M27)]]="","",Viadere[[#This Row],['# kleur afdrukken M2]]/4)</f>
        <v>138308</v>
      </c>
    </row>
    <row r="26" spans="1:23" s="5" customFormat="1" x14ac:dyDescent="0.35">
      <c r="A26" s="1" t="s">
        <v>111</v>
      </c>
      <c r="B26" s="58" t="s">
        <v>112</v>
      </c>
      <c r="C26" t="s">
        <v>113</v>
      </c>
      <c r="D26" t="s">
        <v>114</v>
      </c>
      <c r="E26" t="s">
        <v>54</v>
      </c>
      <c r="F26" s="20">
        <v>1</v>
      </c>
      <c r="G26" s="20"/>
      <c r="H26" s="70">
        <v>45292</v>
      </c>
      <c r="I26" s="23">
        <v>53137</v>
      </c>
      <c r="J26" s="23">
        <v>21357</v>
      </c>
      <c r="K26" s="23">
        <f>Viadere[[#This Row],[Zw/w p/j]]/12</f>
        <v>4428.083333333333</v>
      </c>
      <c r="L26" s="23">
        <f>Viadere[[#This Row],[Kleur p/j]]/12</f>
        <v>1779.75</v>
      </c>
      <c r="M26" s="86">
        <v>48</v>
      </c>
      <c r="N26" s="23">
        <f>IF(Viadere[[#This Row],[Model 1
(eis M1 t/m M27)]]="","",Viadere[[#This Row],[Zw/w p/m]]*Viadere[[#This Row],[Aantal maanden]])</f>
        <v>212548</v>
      </c>
      <c r="O26" s="23">
        <f>IF(Viadere[[#This Row],[Model 1
(eis M1 t/m M27)]]="","",Viadere[[#This Row],[kleur p/m]]*Viadere[[#This Row],[Aantal maanden]])</f>
        <v>85428</v>
      </c>
      <c r="P26" s="23" t="str">
        <f>IF(Viadere[[#This Row],[Model 2
(eis M1 t/m M27)]]="","",Viadere[[#This Row],[Zw/w p/m]]*Viadere[[#This Row],[Aantal maanden]])</f>
        <v/>
      </c>
      <c r="Q26" s="23" t="str">
        <f>IF(Viadere[[#This Row],[Model 2
(eis M1 t/m M27)]]="","",Viadere[[#This Row],[kleur p/m]]*Viadere[[#This Row],[Aantal maanden]])</f>
        <v/>
      </c>
      <c r="R26" s="23">
        <f>IF(Viadere[[#This Row],[Model 1
(eis M1 t/m M27)]]="","",Viadere[[#This Row],['# zw/w afdrukken M1]]/4)</f>
        <v>53137</v>
      </c>
      <c r="S26" s="23">
        <f>IF(Viadere[[#This Row],[Model 1
(eis M1 t/m M27)]]="","",Viadere[[#This Row],['# kleur afdrukken M1]]/4)</f>
        <v>21357</v>
      </c>
      <c r="T26" s="23" t="str">
        <f>IF(Viadere[[#This Row],[Model 2
(eis M1 t/m M27)]]="","",Viadere[[#This Row],['# zw/w afdrukken M2]]/4)</f>
        <v/>
      </c>
      <c r="U26" s="23" t="str">
        <f>IF(Viadere[[#This Row],[Model 2
(eis M1 t/m M27)]]="","",Viadere[[#This Row],['# kleur afdrukken M2]]/4)</f>
        <v/>
      </c>
    </row>
    <row r="27" spans="1:23" s="5" customFormat="1" x14ac:dyDescent="0.35">
      <c r="A27" s="1" t="s">
        <v>111</v>
      </c>
      <c r="B27" s="58" t="s">
        <v>115</v>
      </c>
      <c r="C27" t="s">
        <v>116</v>
      </c>
      <c r="D27" t="s">
        <v>117</v>
      </c>
      <c r="E27" t="s">
        <v>54</v>
      </c>
      <c r="F27" s="20">
        <v>1</v>
      </c>
      <c r="G27" s="20"/>
      <c r="H27" s="70">
        <v>45292</v>
      </c>
      <c r="I27" s="23">
        <v>51620</v>
      </c>
      <c r="J27" s="23">
        <v>29425</v>
      </c>
      <c r="K27" s="23">
        <f>Viadere[[#This Row],[Zw/w p/j]]/12</f>
        <v>4301.666666666667</v>
      </c>
      <c r="L27" s="23">
        <f>Viadere[[#This Row],[Kleur p/j]]/12</f>
        <v>2452.0833333333335</v>
      </c>
      <c r="M27" s="86">
        <v>48</v>
      </c>
      <c r="N27" s="23">
        <f>IF(Viadere[[#This Row],[Model 1
(eis M1 t/m M27)]]="","",Viadere[[#This Row],[Zw/w p/m]]*Viadere[[#This Row],[Aantal maanden]])</f>
        <v>206480</v>
      </c>
      <c r="O27" s="23">
        <f>IF(Viadere[[#This Row],[Model 1
(eis M1 t/m M27)]]="","",Viadere[[#This Row],[kleur p/m]]*Viadere[[#This Row],[Aantal maanden]])</f>
        <v>117700</v>
      </c>
      <c r="P27" s="23" t="str">
        <f>IF(Viadere[[#This Row],[Model 2
(eis M1 t/m M27)]]="","",Viadere[[#This Row],[Zw/w p/m]]*Viadere[[#This Row],[Aantal maanden]])</f>
        <v/>
      </c>
      <c r="Q27" s="23" t="str">
        <f>IF(Viadere[[#This Row],[Model 2
(eis M1 t/m M27)]]="","",Viadere[[#This Row],[kleur p/m]]*Viadere[[#This Row],[Aantal maanden]])</f>
        <v/>
      </c>
      <c r="R27" s="23">
        <f>IF(Viadere[[#This Row],[Model 1
(eis M1 t/m M27)]]="","",Viadere[[#This Row],['# zw/w afdrukken M1]]/4)</f>
        <v>51620</v>
      </c>
      <c r="S27" s="23">
        <f>IF(Viadere[[#This Row],[Model 1
(eis M1 t/m M27)]]="","",Viadere[[#This Row],['# kleur afdrukken M1]]/4)</f>
        <v>29425</v>
      </c>
      <c r="T27" s="23" t="str">
        <f>IF(Viadere[[#This Row],[Model 2
(eis M1 t/m M27)]]="","",Viadere[[#This Row],['# zw/w afdrukken M2]]/4)</f>
        <v/>
      </c>
      <c r="U27" s="23" t="str">
        <f>IF(Viadere[[#This Row],[Model 2
(eis M1 t/m M27)]]="","",Viadere[[#This Row],['# kleur afdrukken M2]]/4)</f>
        <v/>
      </c>
      <c r="V27" s="24"/>
      <c r="W27" s="24"/>
    </row>
    <row r="28" spans="1:23" s="5" customFormat="1" x14ac:dyDescent="0.35">
      <c r="A28" s="1" t="s">
        <v>118</v>
      </c>
      <c r="B28" s="58"/>
      <c r="C28" t="s">
        <v>120</v>
      </c>
      <c r="D28" t="s">
        <v>121</v>
      </c>
      <c r="E28" t="s">
        <v>54</v>
      </c>
      <c r="F28" s="20">
        <v>1</v>
      </c>
      <c r="G28" s="20"/>
      <c r="H28" s="70">
        <v>45292</v>
      </c>
      <c r="I28" s="23">
        <v>62594</v>
      </c>
      <c r="J28" s="23">
        <v>56757</v>
      </c>
      <c r="K28" s="23">
        <f>Viadere[[#This Row],[Zw/w p/j]]/12</f>
        <v>5216.166666666667</v>
      </c>
      <c r="L28" s="23">
        <f>Viadere[[#This Row],[Kleur p/j]]/12</f>
        <v>4729.75</v>
      </c>
      <c r="M28" s="86">
        <v>48</v>
      </c>
      <c r="N28" s="23">
        <f>IF(Viadere[[#This Row],[Model 1
(eis M1 t/m M27)]]="","",Viadere[[#This Row],[Zw/w p/m]]*Viadere[[#This Row],[Aantal maanden]])</f>
        <v>250376</v>
      </c>
      <c r="O28" s="23">
        <f>IF(Viadere[[#This Row],[Model 1
(eis M1 t/m M27)]]="","",Viadere[[#This Row],[kleur p/m]]*Viadere[[#This Row],[Aantal maanden]])</f>
        <v>227028</v>
      </c>
      <c r="P28" s="23" t="str">
        <f>IF(Viadere[[#This Row],[Model 2
(eis M1 t/m M27)]]="","",Viadere[[#This Row],[Zw/w p/m]]*Viadere[[#This Row],[Aantal maanden]])</f>
        <v/>
      </c>
      <c r="Q28" s="23" t="str">
        <f>IF(Viadere[[#This Row],[Model 2
(eis M1 t/m M27)]]="","",Viadere[[#This Row],[kleur p/m]]*Viadere[[#This Row],[Aantal maanden]])</f>
        <v/>
      </c>
      <c r="R28" s="23">
        <f>IF(Viadere[[#This Row],[Model 1
(eis M1 t/m M27)]]="","",Viadere[[#This Row],['# zw/w afdrukken M1]]/4)</f>
        <v>62594</v>
      </c>
      <c r="S28" s="23">
        <f>IF(Viadere[[#This Row],[Model 1
(eis M1 t/m M27)]]="","",Viadere[[#This Row],['# kleur afdrukken M1]]/4)</f>
        <v>56757</v>
      </c>
      <c r="T28" s="23" t="str">
        <f>IF(Viadere[[#This Row],[Model 2
(eis M1 t/m M27)]]="","",Viadere[[#This Row],['# zw/w afdrukken M2]]/4)</f>
        <v/>
      </c>
      <c r="U28" s="23" t="str">
        <f>IF(Viadere[[#This Row],[Model 2
(eis M1 t/m M27)]]="","",Viadere[[#This Row],['# kleur afdrukken M2]]/4)</f>
        <v/>
      </c>
      <c r="V28"/>
      <c r="W28"/>
    </row>
    <row r="29" spans="1:23" s="5" customFormat="1" x14ac:dyDescent="0.35">
      <c r="A29" s="1" t="s">
        <v>118</v>
      </c>
      <c r="B29" s="58"/>
      <c r="C29" t="s">
        <v>120</v>
      </c>
      <c r="D29" t="s">
        <v>121</v>
      </c>
      <c r="E29" t="s">
        <v>54</v>
      </c>
      <c r="F29" s="20"/>
      <c r="G29" s="20">
        <v>1</v>
      </c>
      <c r="H29" s="70">
        <v>45292</v>
      </c>
      <c r="I29" s="23">
        <f>124377</f>
        <v>124377</v>
      </c>
      <c r="J29" s="23">
        <f>64174</f>
        <v>64174</v>
      </c>
      <c r="K29" s="23">
        <f>Viadere[[#This Row],[Zw/w p/j]]/12</f>
        <v>10364.75</v>
      </c>
      <c r="L29" s="23">
        <f>Viadere[[#This Row],[Kleur p/j]]/12</f>
        <v>5347.833333333333</v>
      </c>
      <c r="M29" s="86">
        <v>48</v>
      </c>
      <c r="N29" s="23" t="str">
        <f>IF(Viadere[[#This Row],[Model 1
(eis M1 t/m M27)]]="","",Viadere[[#This Row],[Zw/w p/m]]*Viadere[[#This Row],[Aantal maanden]])</f>
        <v/>
      </c>
      <c r="O29" s="23" t="str">
        <f>IF(Viadere[[#This Row],[Model 1
(eis M1 t/m M27)]]="","",Viadere[[#This Row],[kleur p/m]]*Viadere[[#This Row],[Aantal maanden]])</f>
        <v/>
      </c>
      <c r="P29" s="23">
        <f>IF(Viadere[[#This Row],[Model 2
(eis M1 t/m M27)]]="","",Viadere[[#This Row],[Zw/w p/m]]*Viadere[[#This Row],[Aantal maanden]])</f>
        <v>497508</v>
      </c>
      <c r="Q29" s="23">
        <f>IF(Viadere[[#This Row],[Model 2
(eis M1 t/m M27)]]="","",Viadere[[#This Row],[kleur p/m]]*Viadere[[#This Row],[Aantal maanden]])</f>
        <v>256696</v>
      </c>
      <c r="R29" s="23" t="str">
        <f>IF(Viadere[[#This Row],[Model 1
(eis M1 t/m M27)]]="","",Viadere[[#This Row],['# zw/w afdrukken M1]]/4)</f>
        <v/>
      </c>
      <c r="S29" s="23" t="str">
        <f>IF(Viadere[[#This Row],[Model 1
(eis M1 t/m M27)]]="","",Viadere[[#This Row],['# kleur afdrukken M1]]/4)</f>
        <v/>
      </c>
      <c r="T29" s="23">
        <f>IF(Viadere[[#This Row],[Model 2
(eis M1 t/m M27)]]="","",Viadere[[#This Row],['# zw/w afdrukken M2]]/4)</f>
        <v>124377</v>
      </c>
      <c r="U29" s="23">
        <f>IF(Viadere[[#This Row],[Model 2
(eis M1 t/m M27)]]="","",Viadere[[#This Row],['# kleur afdrukken M2]]/4)</f>
        <v>64174</v>
      </c>
      <c r="V29"/>
      <c r="W29"/>
    </row>
    <row r="30" spans="1:23" s="5" customFormat="1" x14ac:dyDescent="0.35">
      <c r="A30" s="1" t="s">
        <v>122</v>
      </c>
      <c r="B30" s="1"/>
      <c r="C30" t="s">
        <v>123</v>
      </c>
      <c r="D30" t="s">
        <v>124</v>
      </c>
      <c r="E30" t="s">
        <v>125</v>
      </c>
      <c r="F30" s="20">
        <v>1</v>
      </c>
      <c r="G30" s="20"/>
      <c r="H30" s="70">
        <v>45292</v>
      </c>
      <c r="I30" s="23">
        <v>72471</v>
      </c>
      <c r="J30" s="23">
        <v>47111</v>
      </c>
      <c r="K30" s="23">
        <f>Viadere[[#This Row],[Zw/w p/j]]/12</f>
        <v>6039.25</v>
      </c>
      <c r="L30" s="23">
        <f>Viadere[[#This Row],[Kleur p/j]]/12</f>
        <v>3925.9166666666665</v>
      </c>
      <c r="M30" s="86">
        <v>48</v>
      </c>
      <c r="N30" s="23">
        <f>IF(Viadere[[#This Row],[Model 1
(eis M1 t/m M27)]]="","",Viadere[[#This Row],[Zw/w p/m]]*Viadere[[#This Row],[Aantal maanden]])</f>
        <v>289884</v>
      </c>
      <c r="O30" s="23">
        <f>IF(Viadere[[#This Row],[Model 1
(eis M1 t/m M27)]]="","",Viadere[[#This Row],[kleur p/m]]*Viadere[[#This Row],[Aantal maanden]])</f>
        <v>188444</v>
      </c>
      <c r="P30" s="23" t="str">
        <f>IF(Viadere[[#This Row],[Model 2
(eis M1 t/m M27)]]="","",Viadere[[#This Row],[Zw/w p/m]]*Viadere[[#This Row],[Aantal maanden]])</f>
        <v/>
      </c>
      <c r="Q30" s="23" t="str">
        <f>IF(Viadere[[#This Row],[Model 2
(eis M1 t/m M27)]]="","",Viadere[[#This Row],[kleur p/m]]*Viadere[[#This Row],[Aantal maanden]])</f>
        <v/>
      </c>
      <c r="R30" s="23">
        <f>IF(Viadere[[#This Row],[Model 1
(eis M1 t/m M27)]]="","",Viadere[[#This Row],['# zw/w afdrukken M1]]/4)</f>
        <v>72471</v>
      </c>
      <c r="S30" s="23">
        <f>IF(Viadere[[#This Row],[Model 1
(eis M1 t/m M27)]]="","",Viadere[[#This Row],['# kleur afdrukken M1]]/4)</f>
        <v>47111</v>
      </c>
      <c r="T30" s="23" t="str">
        <f>IF(Viadere[[#This Row],[Model 2
(eis M1 t/m M27)]]="","",Viadere[[#This Row],['# zw/w afdrukken M2]]/4)</f>
        <v/>
      </c>
      <c r="U30" s="23" t="str">
        <f>IF(Viadere[[#This Row],[Model 2
(eis M1 t/m M27)]]="","",Viadere[[#This Row],['# kleur afdrukken M2]]/4)</f>
        <v/>
      </c>
      <c r="V30"/>
      <c r="W30"/>
    </row>
    <row r="31" spans="1:23" s="5" customFormat="1" x14ac:dyDescent="0.35">
      <c r="A31" s="58" t="s">
        <v>126</v>
      </c>
      <c r="B31" s="58"/>
      <c r="C31" s="5" t="s">
        <v>127</v>
      </c>
      <c r="D31" s="5" t="s">
        <v>128</v>
      </c>
      <c r="E31" s="5" t="s">
        <v>54</v>
      </c>
      <c r="F31" s="59"/>
      <c r="G31" s="59">
        <v>1</v>
      </c>
      <c r="H31" s="70">
        <v>45292</v>
      </c>
      <c r="I31" s="60">
        <v>221374.28571428574</v>
      </c>
      <c r="J31" s="60">
        <v>21905.714285714283</v>
      </c>
      <c r="K31" s="60">
        <f>Viadere[[#This Row],[Zw/w p/j]]/12</f>
        <v>18447.857142857145</v>
      </c>
      <c r="L31" s="60">
        <f>Viadere[[#This Row],[Kleur p/j]]/12</f>
        <v>1825.4761904761901</v>
      </c>
      <c r="M31" s="74">
        <v>48</v>
      </c>
      <c r="N31" s="23" t="str">
        <f>IF(Viadere[[#This Row],[Model 1
(eis M1 t/m M27)]]="","",Viadere[[#This Row],[Zw/w p/m]]*Viadere[[#This Row],[Aantal maanden]])</f>
        <v/>
      </c>
      <c r="O31" s="23" t="str">
        <f>IF(Viadere[[#This Row],[Model 1
(eis M1 t/m M27)]]="","",Viadere[[#This Row],[kleur p/m]]*Viadere[[#This Row],[Aantal maanden]])</f>
        <v/>
      </c>
      <c r="P31" s="23">
        <f>IF(Viadere[[#This Row],[Model 2
(eis M1 t/m M27)]]="","",Viadere[[#This Row],[Zw/w p/m]]*Viadere[[#This Row],[Aantal maanden]])</f>
        <v>885497.14285714296</v>
      </c>
      <c r="Q31" s="23">
        <f>IF(Viadere[[#This Row],[Model 2
(eis M1 t/m M27)]]="","",Viadere[[#This Row],[kleur p/m]]*Viadere[[#This Row],[Aantal maanden]])</f>
        <v>87622.85714285713</v>
      </c>
      <c r="R31" s="23" t="str">
        <f>IF(Viadere[[#This Row],[Model 1
(eis M1 t/m M27)]]="","",Viadere[[#This Row],['# zw/w afdrukken M1]]/4)</f>
        <v/>
      </c>
      <c r="S31" s="23" t="str">
        <f>IF(Viadere[[#This Row],[Model 1
(eis M1 t/m M27)]]="","",Viadere[[#This Row],['# kleur afdrukken M1]]/4)</f>
        <v/>
      </c>
      <c r="T31" s="23">
        <f>IF(Viadere[[#This Row],[Model 2
(eis M1 t/m M27)]]="","",Viadere[[#This Row],['# zw/w afdrukken M2]]/4)</f>
        <v>221374.28571428574</v>
      </c>
      <c r="U31" s="23">
        <f>IF(Viadere[[#This Row],[Model 2
(eis M1 t/m M27)]]="","",Viadere[[#This Row],['# kleur afdrukken M2]]/4)</f>
        <v>21905.714285714283</v>
      </c>
      <c r="V31"/>
      <c r="W31"/>
    </row>
    <row r="32" spans="1:23" ht="16.5" customHeight="1" x14ac:dyDescent="0.35">
      <c r="A32" t="s">
        <v>3</v>
      </c>
      <c r="F32" s="20">
        <f>SUBTOTAL(109,Viadere[Model 1
(eis M1 t/m M27)])</f>
        <v>12</v>
      </c>
      <c r="G32" s="20">
        <f>SUBTOTAL(109,Viadere[Model 2
(eis M1 t/m M27)])</f>
        <v>16</v>
      </c>
      <c r="H32" s="20"/>
      <c r="I32" s="73">
        <f>SUBTOTAL(109,Viadere[Zw/w p/j])</f>
        <v>3689804</v>
      </c>
      <c r="J32" s="73">
        <f>SUBTOTAL(109,Viadere[Kleur p/j])</f>
        <v>3002470.1428571427</v>
      </c>
      <c r="K32" s="73">
        <f>SUBTOTAL(109,Viadere[Zw/w p/m])</f>
        <v>307483.66666666669</v>
      </c>
      <c r="L32" s="73">
        <f>SUBTOTAL(109,Viadere[kleur p/m])</f>
        <v>250205.84523809521</v>
      </c>
      <c r="M32" s="73" t="s">
        <v>60</v>
      </c>
      <c r="N32" s="24">
        <f>SUBTOTAL(109,Viadere['# zw/w afdrukken M1])-N3</f>
        <v>3159700</v>
      </c>
      <c r="O32" s="24">
        <f>SUBTOTAL(109,Viadere['# kleur afdrukken M1])-O3</f>
        <v>2697260</v>
      </c>
      <c r="P32" s="24">
        <f>SUBTOTAL(109,Viadere['# zw/w afdrukken M2])-P3</f>
        <v>11599516</v>
      </c>
      <c r="Q32" s="24">
        <f>SUBTOTAL(109,Viadere['# kleur afdrukken M2])-Q3</f>
        <v>9312620.5714285709</v>
      </c>
      <c r="R32" s="24">
        <f>SUBTOTAL(109,Viadere[Aantal zw/w afdrukken per optiejaar M1])</f>
        <v>789925</v>
      </c>
      <c r="S32" s="24">
        <f>SUBTOTAL(109,Viadere[Aantal kleur afdrukken per optiejaar M1])</f>
        <v>674315</v>
      </c>
      <c r="T32" s="24">
        <f>SUBTOTAL(109,Viadere[Aantal zw/w afdrukken per optiejaar M2])</f>
        <v>2899879</v>
      </c>
      <c r="U32" s="24">
        <f>SUBTOTAL(109,Viadere[Aantal kleur afdrukken per optiejaar M2])</f>
        <v>2328155.1428571427</v>
      </c>
    </row>
    <row r="33" spans="3:21" ht="16.5" customHeight="1" x14ac:dyDescent="0.35">
      <c r="F33" s="20"/>
      <c r="G33" s="20"/>
      <c r="H33" s="20"/>
      <c r="I33" s="24"/>
      <c r="J33" s="24"/>
      <c r="K33" s="24"/>
      <c r="L33" s="24"/>
      <c r="M33" s="24"/>
      <c r="N33" s="24"/>
      <c r="O33" s="24"/>
      <c r="P33" s="24"/>
      <c r="Q33" s="24"/>
      <c r="R33" s="24"/>
      <c r="S33" s="24"/>
      <c r="T33" s="24"/>
      <c r="U33" s="24"/>
    </row>
    <row r="34" spans="3:21" ht="16.5" customHeight="1" x14ac:dyDescent="0.35">
      <c r="E34" s="18" t="s">
        <v>151</v>
      </c>
      <c r="F34" s="28" t="s">
        <v>23</v>
      </c>
      <c r="G34" s="27" t="s">
        <v>132</v>
      </c>
      <c r="H34" s="27" t="s">
        <v>130</v>
      </c>
      <c r="I34" s="27" t="s">
        <v>131</v>
      </c>
      <c r="K34" s="52" t="s">
        <v>25</v>
      </c>
      <c r="L34" s="52" t="s">
        <v>25</v>
      </c>
      <c r="M34" s="52" t="s">
        <v>25</v>
      </c>
      <c r="N34" s="52" t="s">
        <v>25</v>
      </c>
      <c r="P34" s="96">
        <f>P33+N33</f>
        <v>0</v>
      </c>
      <c r="Q34" s="96">
        <f>Q33+O33</f>
        <v>0</v>
      </c>
      <c r="T34" s="96"/>
      <c r="U34" s="96"/>
    </row>
    <row r="35" spans="3:21" ht="16.5" x14ac:dyDescent="0.35">
      <c r="C35" s="22"/>
      <c r="D35" s="22"/>
      <c r="E35" s="4" t="s">
        <v>152</v>
      </c>
      <c r="F35" s="29">
        <v>0</v>
      </c>
      <c r="G35" s="29">
        <v>0</v>
      </c>
      <c r="H35" s="30">
        <v>0</v>
      </c>
      <c r="I35" s="30">
        <v>0</v>
      </c>
      <c r="K35" s="53">
        <f>P1</f>
        <v>46752</v>
      </c>
      <c r="L35" s="54" t="s">
        <v>38</v>
      </c>
      <c r="M35" s="65">
        <f>P1</f>
        <v>46752</v>
      </c>
      <c r="N35" s="55" t="s">
        <v>39</v>
      </c>
    </row>
    <row r="36" spans="3:21" ht="16.5" x14ac:dyDescent="0.35">
      <c r="D36" s="22"/>
      <c r="E36" s="4" t="s">
        <v>153</v>
      </c>
      <c r="F36" s="29">
        <v>0</v>
      </c>
      <c r="G36" s="29">
        <v>0</v>
      </c>
      <c r="H36" s="29">
        <v>0</v>
      </c>
      <c r="I36" s="29">
        <v>0</v>
      </c>
      <c r="J36" s="18" t="s">
        <v>62</v>
      </c>
      <c r="K36" s="33">
        <f>MROUND(Viadere[[#Totals],['# zw/w afdrukken M1]]+Viadere[[#Totals],['# zw/w afdrukken M2]],1000)</f>
        <v>14759000</v>
      </c>
      <c r="L36" s="33">
        <f>MROUND(Viadere[[#Totals],[Aantal zw/w afdrukken per optiejaar M1]]+Viadere[[#Totals],[Aantal zw/w afdrukken per optiejaar M2]],1000)</f>
        <v>3690000</v>
      </c>
      <c r="M36" s="33">
        <f>MROUND(Viadere[[#Totals],['# kleur afdrukken M1]]+Viadere[[#Totals],['# kleur afdrukken M2]],1000)</f>
        <v>12010000</v>
      </c>
      <c r="N36" s="33">
        <f>MROUND(Viadere[[#Totals],[Aantal kleur afdrukken per optiejaar M1]]+Viadere[[#Totals],[Aantal kleur afdrukken per optiejaar M2]],1000)</f>
        <v>3002000</v>
      </c>
    </row>
    <row r="37" spans="3:21" x14ac:dyDescent="0.35">
      <c r="D37" s="22"/>
      <c r="E37" s="4"/>
      <c r="F37" s="88"/>
      <c r="G37" s="88"/>
      <c r="H37" s="88"/>
      <c r="I37" s="88"/>
      <c r="J37" s="18"/>
      <c r="K37" s="56"/>
      <c r="L37" s="56"/>
      <c r="M37" s="56"/>
      <c r="N37" s="56"/>
    </row>
    <row r="38" spans="3:21" x14ac:dyDescent="0.35">
      <c r="C38" s="4"/>
      <c r="D38" s="4"/>
      <c r="E38" s="18" t="s">
        <v>129</v>
      </c>
      <c r="F38" s="3"/>
      <c r="G38" s="3"/>
      <c r="H38" s="3"/>
      <c r="I38" s="3"/>
    </row>
    <row r="39" spans="3:21" ht="16.5" customHeight="1" x14ac:dyDescent="0.35">
      <c r="C39" s="4"/>
      <c r="D39" s="4"/>
      <c r="E39" s="4" t="s">
        <v>148</v>
      </c>
      <c r="F39" s="32">
        <v>0</v>
      </c>
      <c r="G39" s="32">
        <v>0</v>
      </c>
      <c r="H39" s="32">
        <v>0</v>
      </c>
      <c r="I39" s="32">
        <v>0</v>
      </c>
      <c r="L39" s="19"/>
    </row>
    <row r="40" spans="3:21" ht="16.5" customHeight="1" x14ac:dyDescent="0.35">
      <c r="C40" s="4"/>
      <c r="D40" s="4"/>
      <c r="E40" s="4"/>
      <c r="F40" s="19"/>
      <c r="G40" s="19"/>
      <c r="H40" s="19"/>
      <c r="L40" s="19"/>
    </row>
    <row r="41" spans="3:21" ht="16.5" customHeight="1" x14ac:dyDescent="0.35">
      <c r="E41" s="18" t="s">
        <v>61</v>
      </c>
      <c r="F41" s="3"/>
      <c r="G41" s="3"/>
      <c r="H41" s="3"/>
      <c r="I41" s="3"/>
      <c r="K41" s="56"/>
      <c r="L41" s="56"/>
      <c r="M41" s="56"/>
      <c r="N41" s="56"/>
    </row>
    <row r="42" spans="3:21" ht="16.5" customHeight="1" x14ac:dyDescent="0.35">
      <c r="E42" s="4" t="s">
        <v>24</v>
      </c>
      <c r="F42" s="31">
        <v>0</v>
      </c>
      <c r="G42" s="7" t="s">
        <v>154</v>
      </c>
      <c r="H42" s="87"/>
      <c r="I42" s="87"/>
      <c r="K42" s="56"/>
    </row>
    <row r="43" spans="3:21" ht="16.5" customHeight="1" x14ac:dyDescent="0.35">
      <c r="E43" s="4" t="s">
        <v>10</v>
      </c>
      <c r="F43" s="31">
        <v>0</v>
      </c>
      <c r="G43" s="7" t="s">
        <v>154</v>
      </c>
      <c r="H43" s="87"/>
      <c r="I43" s="87"/>
    </row>
    <row r="44" spans="3:21" ht="16.5" customHeight="1" x14ac:dyDescent="0.35">
      <c r="C44" s="4"/>
      <c r="D44" s="4"/>
      <c r="E44" s="4"/>
      <c r="F44" s="3"/>
      <c r="G44" s="3"/>
      <c r="H44" s="3"/>
      <c r="I44" s="3"/>
    </row>
    <row r="45" spans="3:21" ht="16.5" customHeight="1" x14ac:dyDescent="0.35">
      <c r="C45" s="4"/>
      <c r="D45" s="4"/>
      <c r="E45" s="46" t="s">
        <v>50</v>
      </c>
      <c r="F45" s="19"/>
      <c r="G45" s="19"/>
      <c r="H45" s="19"/>
      <c r="I45" s="19"/>
    </row>
    <row r="46" spans="3:21" ht="16.5" customHeight="1" x14ac:dyDescent="0.35">
      <c r="C46" s="98" t="s">
        <v>51</v>
      </c>
      <c r="D46" s="98"/>
      <c r="E46" s="98"/>
      <c r="F46" s="32">
        <v>0</v>
      </c>
      <c r="G46" s="7" t="s">
        <v>53</v>
      </c>
      <c r="H46" s="19"/>
      <c r="I46" s="19"/>
    </row>
    <row r="47" spans="3:21" ht="16.5" customHeight="1" x14ac:dyDescent="0.35">
      <c r="C47" s="98" t="s">
        <v>52</v>
      </c>
      <c r="D47" s="98"/>
      <c r="E47" s="98"/>
      <c r="F47" s="32">
        <v>0</v>
      </c>
      <c r="G47" s="7" t="s">
        <v>53</v>
      </c>
      <c r="H47" s="19"/>
      <c r="I47" s="19"/>
    </row>
    <row r="48" spans="3:21" ht="16.5" customHeight="1" x14ac:dyDescent="0.35">
      <c r="C48" s="4"/>
      <c r="D48" s="4"/>
      <c r="E48" s="4"/>
      <c r="F48" s="4"/>
      <c r="G48" s="7"/>
      <c r="H48" s="19"/>
      <c r="I48" s="19"/>
    </row>
    <row r="49" spans="3:10" ht="16.5" customHeight="1" x14ac:dyDescent="0.35">
      <c r="C49" s="4"/>
      <c r="D49" s="4"/>
      <c r="E49" s="18" t="s">
        <v>147</v>
      </c>
      <c r="F49" s="28" t="s">
        <v>23</v>
      </c>
      <c r="G49" s="27" t="s">
        <v>132</v>
      </c>
      <c r="H49" s="27" t="s">
        <v>130</v>
      </c>
      <c r="I49" s="27" t="s">
        <v>131</v>
      </c>
    </row>
    <row r="50" spans="3:10" ht="16.5" customHeight="1" x14ac:dyDescent="0.35">
      <c r="C50" s="98" t="s">
        <v>155</v>
      </c>
      <c r="D50" s="98"/>
      <c r="E50" s="99"/>
      <c r="F50" s="93">
        <v>0</v>
      </c>
      <c r="G50" s="97"/>
      <c r="H50" s="97"/>
      <c r="I50" s="97"/>
    </row>
    <row r="51" spans="3:10" ht="16.5" customHeight="1" x14ac:dyDescent="0.35">
      <c r="C51" s="98" t="s">
        <v>145</v>
      </c>
      <c r="D51" s="98"/>
      <c r="E51" s="98"/>
      <c r="F51" s="93">
        <v>0</v>
      </c>
      <c r="J51" s="90" t="s">
        <v>13</v>
      </c>
    </row>
    <row r="52" spans="3:10" ht="16.5" customHeight="1" x14ac:dyDescent="0.35">
      <c r="C52" s="98" t="s">
        <v>40</v>
      </c>
      <c r="D52" s="98"/>
      <c r="E52" s="98"/>
      <c r="F52" s="94">
        <v>0</v>
      </c>
      <c r="G52" s="94">
        <v>0</v>
      </c>
      <c r="H52" s="94">
        <v>0</v>
      </c>
      <c r="I52" s="94">
        <v>0</v>
      </c>
      <c r="J52" s="90" t="s">
        <v>13</v>
      </c>
    </row>
    <row r="53" spans="3:10" ht="16.5" customHeight="1" x14ac:dyDescent="0.35">
      <c r="C53" s="98" t="s">
        <v>41</v>
      </c>
      <c r="D53" s="98"/>
      <c r="E53" s="98"/>
      <c r="F53" s="94">
        <v>0</v>
      </c>
      <c r="G53" s="94">
        <v>0</v>
      </c>
      <c r="H53" s="94">
        <v>0</v>
      </c>
      <c r="I53" s="94">
        <v>0</v>
      </c>
      <c r="J53" s="90" t="s">
        <v>13</v>
      </c>
    </row>
    <row r="54" spans="3:10" ht="16.5" customHeight="1" x14ac:dyDescent="0.35">
      <c r="C54" s="98" t="s">
        <v>42</v>
      </c>
      <c r="D54" s="98"/>
      <c r="E54" s="98"/>
      <c r="F54" s="94">
        <v>0</v>
      </c>
      <c r="G54" s="94">
        <v>0</v>
      </c>
      <c r="H54" s="94">
        <v>0</v>
      </c>
      <c r="I54" s="94">
        <v>0</v>
      </c>
      <c r="J54" s="90" t="s">
        <v>13</v>
      </c>
    </row>
    <row r="55" spans="3:10" ht="16.5" customHeight="1" x14ac:dyDescent="0.35">
      <c r="C55" s="98" t="s">
        <v>43</v>
      </c>
      <c r="D55" s="98"/>
      <c r="E55" s="98"/>
      <c r="F55" s="94">
        <v>0</v>
      </c>
      <c r="G55" s="94">
        <v>0</v>
      </c>
      <c r="H55" s="94">
        <v>0</v>
      </c>
      <c r="I55" s="94">
        <v>0</v>
      </c>
      <c r="J55" s="90" t="s">
        <v>13</v>
      </c>
    </row>
    <row r="56" spans="3:10" ht="16.5" customHeight="1" x14ac:dyDescent="0.35">
      <c r="C56" s="98" t="s">
        <v>46</v>
      </c>
      <c r="D56" s="98" t="s">
        <v>14</v>
      </c>
      <c r="E56" s="98"/>
      <c r="F56" s="94">
        <v>0</v>
      </c>
      <c r="G56" s="94">
        <v>0</v>
      </c>
      <c r="H56" s="94">
        <v>0</v>
      </c>
      <c r="I56" s="94">
        <v>0</v>
      </c>
      <c r="J56" s="90" t="s">
        <v>13</v>
      </c>
    </row>
    <row r="57" spans="3:10" ht="16.5" customHeight="1" x14ac:dyDescent="0.35">
      <c r="C57" s="98" t="s">
        <v>47</v>
      </c>
      <c r="D57" s="98" t="s">
        <v>14</v>
      </c>
      <c r="E57" s="98"/>
      <c r="F57" s="94">
        <v>0</v>
      </c>
      <c r="G57" s="94">
        <v>0</v>
      </c>
      <c r="H57" s="94">
        <v>0</v>
      </c>
      <c r="I57" s="94">
        <v>0</v>
      </c>
      <c r="J57" s="90" t="s">
        <v>13</v>
      </c>
    </row>
    <row r="58" spans="3:10" ht="16.5" customHeight="1" x14ac:dyDescent="0.35">
      <c r="C58" s="98" t="s">
        <v>44</v>
      </c>
      <c r="D58" s="98" t="s">
        <v>14</v>
      </c>
      <c r="E58" s="98"/>
      <c r="F58" s="94">
        <v>0</v>
      </c>
      <c r="G58" s="94">
        <v>0</v>
      </c>
      <c r="H58" s="94">
        <v>0</v>
      </c>
      <c r="I58" s="94">
        <v>0</v>
      </c>
      <c r="J58" s="90" t="s">
        <v>13</v>
      </c>
    </row>
    <row r="59" spans="3:10" ht="16.5" customHeight="1" x14ac:dyDescent="0.35">
      <c r="C59" s="98" t="s">
        <v>45</v>
      </c>
      <c r="D59" s="98" t="s">
        <v>14</v>
      </c>
      <c r="E59" s="98"/>
      <c r="F59" s="94">
        <v>0</v>
      </c>
      <c r="G59" s="94">
        <v>0</v>
      </c>
      <c r="H59" s="94">
        <v>0</v>
      </c>
      <c r="I59" s="94">
        <v>0</v>
      </c>
      <c r="J59" s="90" t="s">
        <v>13</v>
      </c>
    </row>
    <row r="60" spans="3:10" ht="15" thickBot="1" x14ac:dyDescent="0.4">
      <c r="C60" s="4"/>
      <c r="D60" s="4"/>
      <c r="E60" s="4"/>
      <c r="F60" s="21"/>
      <c r="G60" s="21"/>
      <c r="H60" s="21"/>
      <c r="I60" s="21"/>
      <c r="J60" s="8"/>
    </row>
    <row r="61" spans="3:10" ht="16.5" customHeight="1" x14ac:dyDescent="0.35">
      <c r="D61" s="85"/>
      <c r="E61" s="82" t="s">
        <v>37</v>
      </c>
      <c r="F61" s="37" t="s">
        <v>23</v>
      </c>
      <c r="G61" s="38" t="s">
        <v>132</v>
      </c>
      <c r="H61" s="38" t="s">
        <v>130</v>
      </c>
      <c r="I61" s="38" t="s">
        <v>131</v>
      </c>
      <c r="J61" s="39" t="s">
        <v>36</v>
      </c>
    </row>
    <row r="62" spans="3:10" ht="16.5" customHeight="1" x14ac:dyDescent="0.35">
      <c r="D62" s="40"/>
      <c r="E62" s="34" t="s">
        <v>34</v>
      </c>
      <c r="F62" s="75">
        <f>F35*Viadere[[#Totals],[Model 1
(eis M1 t/m M27)]]*48</f>
        <v>0</v>
      </c>
      <c r="G62" s="75">
        <f>G35*Viadere[[#Totals],[Model 1
(eis M1 t/m M27)]]*12</f>
        <v>0</v>
      </c>
      <c r="H62" s="75">
        <f>H35*Viadere[[#Totals],[Model 1
(eis M1 t/m M27)]]*12</f>
        <v>0</v>
      </c>
      <c r="I62" s="75">
        <f>I35*Viadere[[#Totals],[Model 1
(eis M1 t/m M27)]]*12</f>
        <v>0</v>
      </c>
      <c r="J62" s="41">
        <f>SUM(Viadere!$F62:$I62)</f>
        <v>0</v>
      </c>
    </row>
    <row r="63" spans="3:10" ht="16.5" customHeight="1" x14ac:dyDescent="0.35">
      <c r="D63" s="42"/>
      <c r="E63" s="35" t="s">
        <v>33</v>
      </c>
      <c r="F63" s="76">
        <f>F36*Viadere[[#Totals],[Model 2
(eis M1 t/m M27)]]*48</f>
        <v>0</v>
      </c>
      <c r="G63" s="76">
        <f>G36*Viadere[[#Totals],[Model 2
(eis M1 t/m M27)]]*12</f>
        <v>0</v>
      </c>
      <c r="H63" s="76">
        <f>H36*Viadere[[#Totals],[Model 2
(eis M1 t/m M27)]]*12</f>
        <v>0</v>
      </c>
      <c r="I63" s="76">
        <f>I36*Viadere[[#Totals],[Model 2
(eis M1 t/m M27)]]*12</f>
        <v>0</v>
      </c>
      <c r="J63" s="43">
        <f>SUM(Viadere!$F63:$I63)</f>
        <v>0</v>
      </c>
    </row>
    <row r="64" spans="3:10" x14ac:dyDescent="0.35">
      <c r="D64" s="45"/>
      <c r="E64" s="35" t="s">
        <v>63</v>
      </c>
      <c r="F64" s="76">
        <f>F42*K36</f>
        <v>0</v>
      </c>
      <c r="G64" s="76">
        <f>$F$42*$L$36</f>
        <v>0</v>
      </c>
      <c r="H64" s="76">
        <f t="shared" ref="H64:I64" si="2">$F$42*$L$36</f>
        <v>0</v>
      </c>
      <c r="I64" s="76">
        <f t="shared" si="2"/>
        <v>0</v>
      </c>
      <c r="J64" s="43">
        <f>SUM(Viadere!$F64:$I64)</f>
        <v>0</v>
      </c>
    </row>
    <row r="65" spans="3:11" ht="16.5" customHeight="1" x14ac:dyDescent="0.35">
      <c r="D65" s="44"/>
      <c r="E65" s="34" t="s">
        <v>35</v>
      </c>
      <c r="F65" s="75">
        <f>F43*M36</f>
        <v>0</v>
      </c>
      <c r="G65" s="75">
        <f>$F$43*$N$36</f>
        <v>0</v>
      </c>
      <c r="H65" s="75">
        <f t="shared" ref="H65:I65" si="3">$F$43*$N$36</f>
        <v>0</v>
      </c>
      <c r="I65" s="75">
        <f t="shared" si="3"/>
        <v>0</v>
      </c>
      <c r="J65" s="41">
        <f>SUM(Viadere!$F65:$I65)</f>
        <v>0</v>
      </c>
    </row>
    <row r="66" spans="3:11" ht="16.5" customHeight="1" x14ac:dyDescent="0.35">
      <c r="D66" s="44"/>
      <c r="E66" s="34" t="s">
        <v>149</v>
      </c>
      <c r="F66" s="75">
        <f>F39*(Viadere[[#Totals],[Model 1
(eis M1 t/m M27)]]+Viadere[[#Totals],[Model 2
(eis M1 t/m M27)]])*48</f>
        <v>0</v>
      </c>
      <c r="G66" s="75">
        <f>G39*(Viadere[[#Totals],[Model 1
(eis M1 t/m M27)]]+Viadere[[#Totals],[Model 2
(eis M1 t/m M27)]])*12</f>
        <v>0</v>
      </c>
      <c r="H66" s="75">
        <f>H39*(Viadere[[#Totals],[Model 1
(eis M1 t/m M27)]]+Viadere[[#Totals],[Model 2
(eis M1 t/m M27)]])*12</f>
        <v>0</v>
      </c>
      <c r="I66" s="75">
        <f>I39*(Viadere[[#Totals],[Model 1
(eis M1 t/m M27)]]+Viadere[[#Totals],[Model 2
(eis M1 t/m M27)]])*12</f>
        <v>0</v>
      </c>
      <c r="J66" s="41">
        <f>SUM(F66:I66)</f>
        <v>0</v>
      </c>
    </row>
    <row r="67" spans="3:11" ht="16.5" customHeight="1" x14ac:dyDescent="0.35">
      <c r="C67" s="25"/>
      <c r="D67" s="45"/>
      <c r="E67" s="77" t="s">
        <v>11</v>
      </c>
      <c r="F67" s="50"/>
      <c r="G67" s="50"/>
      <c r="H67" s="50"/>
      <c r="I67" s="50"/>
      <c r="J67" s="43">
        <f>F46</f>
        <v>0</v>
      </c>
      <c r="K67" s="25"/>
    </row>
    <row r="68" spans="3:11" ht="16.5" customHeight="1" thickBot="1" x14ac:dyDescent="0.4">
      <c r="C68" s="3"/>
      <c r="D68" s="78"/>
      <c r="E68" s="79" t="s">
        <v>12</v>
      </c>
      <c r="F68" s="51"/>
      <c r="G68" s="51"/>
      <c r="H68" s="51"/>
      <c r="I68" s="51"/>
      <c r="J68" s="80">
        <f>F47</f>
        <v>0</v>
      </c>
    </row>
    <row r="69" spans="3:11" ht="16.5" customHeight="1" thickBot="1" x14ac:dyDescent="0.6">
      <c r="C69" s="11"/>
      <c r="D69" s="12"/>
      <c r="F69" s="10"/>
      <c r="G69" s="10"/>
      <c r="H69" s="10"/>
      <c r="I69" s="10"/>
    </row>
    <row r="70" spans="3:11" ht="16.5" customHeight="1" thickBot="1" x14ac:dyDescent="0.4">
      <c r="F70" s="13"/>
      <c r="I70" s="92" t="s">
        <v>15</v>
      </c>
      <c r="J70" s="91">
        <f>SUM(J62:J69)</f>
        <v>0</v>
      </c>
    </row>
    <row r="71" spans="3:11" ht="16.5" customHeight="1" x14ac:dyDescent="0.35"/>
    <row r="72" spans="3:11" ht="16.5" customHeight="1" x14ac:dyDescent="0.35">
      <c r="D72" s="49" t="s">
        <v>48</v>
      </c>
      <c r="K72" s="26"/>
    </row>
    <row r="73" spans="3:11" ht="15" x14ac:dyDescent="0.35">
      <c r="D73" s="49" t="s">
        <v>146</v>
      </c>
      <c r="E73" s="26"/>
      <c r="F73" s="26"/>
      <c r="G73" s="26"/>
      <c r="H73" s="26"/>
      <c r="I73" s="26"/>
      <c r="J73" s="26"/>
      <c r="K73" s="26"/>
    </row>
    <row r="74" spans="3:11" ht="15" x14ac:dyDescent="0.35">
      <c r="D74" s="48" t="s">
        <v>49</v>
      </c>
      <c r="E74" s="26"/>
      <c r="F74" s="26"/>
      <c r="G74" s="26"/>
      <c r="H74" s="26"/>
      <c r="I74" s="26"/>
      <c r="J74" s="26"/>
      <c r="K74" s="9"/>
    </row>
    <row r="75" spans="3:11" x14ac:dyDescent="0.35">
      <c r="E75" s="9"/>
      <c r="F75" s="9"/>
      <c r="G75" s="9"/>
      <c r="H75" s="9"/>
      <c r="I75" s="9"/>
      <c r="J75" s="9"/>
    </row>
  </sheetData>
  <mergeCells count="12">
    <mergeCell ref="C59:E59"/>
    <mergeCell ref="C51:E51"/>
    <mergeCell ref="C52:E52"/>
    <mergeCell ref="C53:E53"/>
    <mergeCell ref="C54:E54"/>
    <mergeCell ref="C55:E55"/>
    <mergeCell ref="C46:E46"/>
    <mergeCell ref="C47:E47"/>
    <mergeCell ref="C56:E56"/>
    <mergeCell ref="C57:E57"/>
    <mergeCell ref="C58:E58"/>
    <mergeCell ref="C50:E50"/>
  </mergeCells>
  <phoneticPr fontId="2" type="noConversion"/>
  <pageMargins left="0.23622047244094491" right="0.23622047244094491" top="0.74803149606299213" bottom="0.74803149606299213" header="0.31496062992125984" footer="0.31496062992125984"/>
  <pageSetup paperSize="9" scale="2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9 H K l U k 6 5 M L u j A A A A 9 Q A A A B I A H A B D b 2 5 m a W c v U G F j a 2 F n Z S 5 4 b W w g o h g A K K A U A A A A A A A A A A A A A A A A A A A A A A A A A A A A h Y + x D o I w G I R f h X S n L c i g 5 K c M r m B M T I w r K R U a 4 c f Q Y n k 3 B x / J V x C j q J v J L X f 3 D X f 3 6 w 3 S s W 2 8 i + q N 7 j A h A e X E U y i 7 U m O V k M E e / S V J B W w L e S o q 5 U 0 w m n g 0 Z U J q a 8 8 x Y 8 4 5 6 h a 0 6 y s W c h 6 w Q 5 7 t Z K 3 a g n x g / R / 2 N R p b o F R E w P 4 1 R o R 0 N S m K K A c 2 Z 5 B r / P b h N P f Z / o S w H h o 7 9 E p g 4 2 8 y Y L M F 9 r 4 g H l B L A w Q U A A I A C A D 0 c q V 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9 H K l U i i K R 7 g O A A A A E Q A A A B M A H A B G b 3 J t d W x h c y 9 T Z W N 0 a W 9 u M S 5 t I K I Y A C i g F A A A A A A A A A A A A A A A A A A A A A A A A A A A A C t O T S 7 J z M 9 T C I b Q h t Y A U E s B A i 0 A F A A C A A g A 9 H K l U k 6 5 M L u j A A A A 9 Q A A A B I A A A A A A A A A A A A A A A A A A A A A A E N v b m Z p Z y 9 Q Y W N r Y W d l L n h t b F B L A Q I t A B Q A A g A I A P R y p V I P y u m r p A A A A O k A A A A T A A A A A A A A A A A A A A A A A O 8 A A A B b Q 2 9 u d G V u d F 9 U e X B l c 1 0 u e G 1 s U E s B A i 0 A F A A C A A g A 9 H K l 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L l E g b w E h w l L t r W U z p Y c q 7 M A A A A A A g A A A A A A E G Y A A A A B A A A g A A A A J L B 8 C u L a 8 C n e G X R W R H 6 p x / q o j D 7 b M 3 6 u / z N n A j d 0 8 Y o A A A A A D o A A A A A C A A A g A A A A t z P N v Y I y 6 8 C v n q e o E D Z E c d 4 s G H y O Y J c k H K Y 7 l N g b 1 p N Q A A A A u x j 1 5 K D 4 O C M d r l 3 J x R 9 l t / w C L 2 f k z O E 8 D H s u i X T O S a P Z 2 I M b C R 1 Y K Z 5 m M u Q / 7 V a P S N 5 N h q l k 9 S K J 3 0 L D v a r W e E 8 A 8 q t z P S B C Y j 6 + X M 2 z B 4 J A A A A A u c T V d Z O M T c 9 s V z m 8 D o d Y p e o S k I W o T a N Z R Y y d Y x J R Z A P V 7 d Y r + 3 B A C h k m Q 2 1 Z A 3 O 6 r a d D s Q v p U D 5 j g F 9 1 Q 4 O G r Q = = < / 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7" ma:contentTypeDescription="Een nieuw document maken." ma:contentTypeScope="" ma:versionID="7c913162e826ae1f967746aa6c77102a">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4cfd291eba91d571a0a4728fa1b4127"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D58017-63E3-4089-8266-CD4359C4AE99}">
  <ds:schemaRefs>
    <ds:schemaRef ds:uri="http://schemas.microsoft.com/DataMashup"/>
  </ds:schemaRefs>
</ds:datastoreItem>
</file>

<file path=customXml/itemProps2.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3.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4.xml><?xml version="1.0" encoding="utf-8"?>
<ds:datastoreItem xmlns:ds="http://schemas.openxmlformats.org/officeDocument/2006/customXml" ds:itemID="{E1C5DFD1-BD1A-4C51-9EFA-F86C5035B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Viadere</vt:lpstr>
      <vt:lpstr>Toelichting!Afdrukbereik</vt:lpstr>
      <vt:lpstr>Viadere!Afdrukbereik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cp:lastPrinted>2021-07-20T07:00:16Z</cp:lastPrinted>
  <dcterms:created xsi:type="dcterms:W3CDTF">2021-01-05T14:14:03Z</dcterms:created>
  <dcterms:modified xsi:type="dcterms:W3CDTF">2023-10-02T12:54:55Z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