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Nationale Opera &amp; Ballet\Aanbesteding Schoonmaak 2023\Correspondentie\1e NVI\"/>
    </mc:Choice>
  </mc:AlternateContent>
  <xr:revisionPtr revIDLastSave="0" documentId="13_ncr:1_{4B18A6DD-9BF1-42B2-B385-2B14A2E82804}" xr6:coauthVersionLast="47" xr6:coauthVersionMax="47" xr10:uidLastSave="{00000000-0000-0000-0000-000000000000}"/>
  <bookViews>
    <workbookView xWindow="1950" yWindow="2010" windowWidth="28770" windowHeight="15270" firstSheet="2" activeTab="13" xr2:uid="{52CF7A84-0FD1-4931-966A-758333066DE2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dditioneel werk" sheetId="9" r:id="rId9"/>
    <sheet name="Afroep" sheetId="10" r:id="rId10"/>
    <sheet name="Afroep incidenteel" sheetId="11" r:id="rId11"/>
    <sheet name="Regiewerk" sheetId="12" r:id="rId12"/>
    <sheet name="Glas" sheetId="13" r:id="rId13"/>
    <sheet name="Totaal" sheetId="14" r:id="rId14"/>
  </sheets>
  <definedNames>
    <definedName name="_xlnm._FilterDatabase" localSheetId="3" hidden="1">'Ruimten werkdag'!$A$3:$U$417</definedName>
    <definedName name="_xlnm.Print_Titles" localSheetId="8">'Additioneel werk'!$1:$3</definedName>
    <definedName name="_xlnm.Print_Titles" localSheetId="9">Afroep!$1:$3</definedName>
    <definedName name="_xlnm.Print_Titles" localSheetId="10">'Afroep incidenteel'!$1:$3</definedName>
    <definedName name="_xlnm.Print_Titles" localSheetId="1">Categorienormen!$1:$3</definedName>
    <definedName name="_xlnm.Print_Titles" localSheetId="12">Glas!$1:$3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11">Regiewerk!$1:$3</definedName>
    <definedName name="_xlnm.Print_Titles" localSheetId="2">'Regulier werk'!$1:$3</definedName>
    <definedName name="_xlnm.Print_Titles" localSheetId="3">'Ruimten werkdag'!$1:$3</definedName>
    <definedName name="_xlnm.Print_Titles" localSheetId="13">Totaal!$1:$3</definedName>
    <definedName name="_xlnm.Print_Titles" localSheetId="7">'Totaalblad Objecten'!$1:$3</definedName>
    <definedName name="catdw_1_AHV_12">Categorienormen!$F$36</definedName>
    <definedName name="catdw_1_AHV_2">Categorienormen!$F$34</definedName>
    <definedName name="catdw_1_AHV_6">Categorienormen!$F$35</definedName>
    <definedName name="catdw_1_AZB_1">Categorienormen!$F$37</definedName>
    <definedName name="catdw_1_AZV_46">Categorienormen!$F$38</definedName>
    <definedName name="catdw_1_BHB_1">Categorienormen!$F$6</definedName>
    <definedName name="catdw_1_BHV_46">Categorienormen!$F$7</definedName>
    <definedName name="catdw_1_BHV_51">Categorienormen!$F$8</definedName>
    <definedName name="catdw_1_BZB_1">Categorienormen!$F$9</definedName>
    <definedName name="catdw_1_BZV_46">Categorienormen!$F$10</definedName>
    <definedName name="catdw_1_BZV_51">Categorienormen!$F$11</definedName>
    <definedName name="catdw_1_CHB_1">Categorienormen!$F$39</definedName>
    <definedName name="catdw_1_CHV_46">Categorienormen!$F$40</definedName>
    <definedName name="catdw_1_CZB_1">Categorienormen!$F$41</definedName>
    <definedName name="catdw_1_CZV_46">Categorienormen!$F$42</definedName>
    <definedName name="catdw_1_DHB_1">Categorienormen!$F$27</definedName>
    <definedName name="catdw_1_DHV_46">Categorienormen!$F$28</definedName>
    <definedName name="catdw_1_EHB_1">Categorienormen!$F$43</definedName>
    <definedName name="catdw_1_EHV_46">Categorienormen!$F$44</definedName>
    <definedName name="catdw_1_EZB_1">Categorienormen!$F$45</definedName>
    <definedName name="catdw_1_EZV_46">Categorienormen!$F$46</definedName>
    <definedName name="catdw_1_FHB_1">Categorienormen!$F$47</definedName>
    <definedName name="catdw_1_FHV_51">Categorienormen!$F$48</definedName>
    <definedName name="catdw_1_GHB_1">Categorienormen!$F$49</definedName>
    <definedName name="catdw_1_GHV_46">Categorienormen!$F$50</definedName>
    <definedName name="catdw_1_HHB_1">Categorienormen!$F$12</definedName>
    <definedName name="catdw_1_HHV_46">Categorienormen!$F$13</definedName>
    <definedName name="catdw_1_IHB_1">Categorienormen!$F$51</definedName>
    <definedName name="catdw_1_IHV_46">Categorienormen!$F$52</definedName>
    <definedName name="catdw_1_IHV_51">Categorienormen!$F$53</definedName>
    <definedName name="catdw_1_KHB_1">Categorienormen!$F$29</definedName>
    <definedName name="catdw_1_KHV_46">Categorienormen!$F$30</definedName>
    <definedName name="catdw_1_MHB_1">Categorienormen!$F$14</definedName>
    <definedName name="catdw_1_MHV_46">Categorienormen!$F$15</definedName>
    <definedName name="catdw_1_OHB_1">Categorienormen!$F$16</definedName>
    <definedName name="catdw_1_OHV_46">Categorienormen!$F$17</definedName>
    <definedName name="catdw_1_OHV_51">Categorienormen!$F$18</definedName>
    <definedName name="catdw_1_OZB_1">Categorienormen!$F$19</definedName>
    <definedName name="catdw_1_OZV_51">Categorienormen!$F$20</definedName>
    <definedName name="catdw_1_PAHB_1">Categorienormen!$F$21</definedName>
    <definedName name="catdw_1_PAHV_46">Categorienormen!$F$22</definedName>
    <definedName name="catdw_1_PHB_1">Categorienormen!$F$54</definedName>
    <definedName name="catdw_1_PHV_46">Categorienormen!$F$55</definedName>
    <definedName name="catdw_1_PHV_51">Categorienormen!$F$56</definedName>
    <definedName name="catdw_1_RHB_1">Categorienormen!$F$57</definedName>
    <definedName name="catdw_1_RHV_46">Categorienormen!$F$58</definedName>
    <definedName name="catdw_1_RRHB_1">Categorienormen!$F$23</definedName>
    <definedName name="catdw_1_RRHV_46">Categorienormen!$F$24</definedName>
    <definedName name="catdw_1_RRZB_1">Categorienormen!$F$25</definedName>
    <definedName name="catdw_1_RRZV_46">Categorienormen!$F$26</definedName>
    <definedName name="catdw_1_SHB_1">Categorienormen!$F$31</definedName>
    <definedName name="catdw_1_SHV_46">Categorienormen!$F$32</definedName>
    <definedName name="catdw_1_SHV_51">Categorienormen!$F$33</definedName>
    <definedName name="catdw_1_THB_1">Categorienormen!$F$59</definedName>
    <definedName name="catdw_1_THV_46">Categorienormen!$F$60</definedName>
    <definedName name="catdw_1_THV_51">Categorienormen!$F$61</definedName>
    <definedName name="catdw_1_VHB_1">Categorienormen!$F$62</definedName>
    <definedName name="catdw_1_VHV_1">Categorienormen!$F$63</definedName>
    <definedName name="catdw_1_VHV_26">Categorienormen!$F$64</definedName>
    <definedName name="catdw_1_VHV_46">Categorienormen!$F$65</definedName>
    <definedName name="catdw_1_VHV_51">Categorienormen!$F$66</definedName>
    <definedName name="catdw_1_WPHB_1">Categorienormen!$F$67</definedName>
    <definedName name="catdw_1_WPHV_46">Categorienormen!$F$69</definedName>
    <definedName name="catdw_1_WPHV_51">Categorienormen!$F$70</definedName>
    <definedName name="catdw_1_WPHV_6">Categorienormen!$F$68</definedName>
    <definedName name="catfd_1_AHV_12">Categorienormen!$C$36</definedName>
    <definedName name="catfd_1_AHV_2">Categorienormen!$C$34</definedName>
    <definedName name="catfd_1_AHV_6">Categorienormen!$C$35</definedName>
    <definedName name="catfd_1_AZB_1">Categorienormen!$C$37</definedName>
    <definedName name="catfd_1_AZV_46">Categorienormen!$C$38</definedName>
    <definedName name="catfd_1_BHB_1">Categorienormen!$C$6</definedName>
    <definedName name="catfd_1_BHV_46">Categorienormen!$C$7</definedName>
    <definedName name="catfd_1_BHV_51">Categorienormen!$C$8</definedName>
    <definedName name="catfd_1_BZB_1">Categorienormen!$C$9</definedName>
    <definedName name="catfd_1_BZV_46">Categorienormen!$C$10</definedName>
    <definedName name="catfd_1_BZV_51">Categorienormen!$C$11</definedName>
    <definedName name="catfd_1_CHB_1">Categorienormen!$C$39</definedName>
    <definedName name="catfd_1_CHV_46">Categorienormen!$C$40</definedName>
    <definedName name="catfd_1_CZB_1">Categorienormen!$C$41</definedName>
    <definedName name="catfd_1_CZV_46">Categorienormen!$C$42</definedName>
    <definedName name="catfd_1_DHB_1">Categorienormen!$C$27</definedName>
    <definedName name="catfd_1_DHV_46">Categorienormen!$C$28</definedName>
    <definedName name="catfd_1_EHB_1">Categorienormen!$C$43</definedName>
    <definedName name="catfd_1_EHV_46">Categorienormen!$C$44</definedName>
    <definedName name="catfd_1_EZB_1">Categorienormen!$C$45</definedName>
    <definedName name="catfd_1_EZV_46">Categorienormen!$C$46</definedName>
    <definedName name="catfd_1_FHB_1">Categorienormen!$C$47</definedName>
    <definedName name="catfd_1_FHV_51">Categorienormen!$C$48</definedName>
    <definedName name="catfd_1_GHB_1">Categorienormen!$C$49</definedName>
    <definedName name="catfd_1_GHV_46">Categorienormen!$C$50</definedName>
    <definedName name="catfd_1_HHB_1">Categorienormen!$C$12</definedName>
    <definedName name="catfd_1_HHV_46">Categorienormen!$C$13</definedName>
    <definedName name="catfd_1_IHB_1">Categorienormen!$C$51</definedName>
    <definedName name="catfd_1_IHV_46">Categorienormen!$C$52</definedName>
    <definedName name="catfd_1_IHV_51">Categorienormen!$C$53</definedName>
    <definedName name="catfd_1_KHB_1">Categorienormen!$C$29</definedName>
    <definedName name="catfd_1_KHV_46">Categorienormen!$C$30</definedName>
    <definedName name="catfd_1_MHB_1">Categorienormen!$C$14</definedName>
    <definedName name="catfd_1_MHV_46">Categorienormen!$C$15</definedName>
    <definedName name="catfd_1_OHB_1">Categorienormen!$C$16</definedName>
    <definedName name="catfd_1_OHV_46">Categorienormen!$C$17</definedName>
    <definedName name="catfd_1_OHV_51">Categorienormen!$C$18</definedName>
    <definedName name="catfd_1_OZB_1">Categorienormen!$C$19</definedName>
    <definedName name="catfd_1_OZV_51">Categorienormen!$C$20</definedName>
    <definedName name="catfd_1_PAHB_1">Categorienormen!$C$21</definedName>
    <definedName name="catfd_1_PAHV_46">Categorienormen!$C$22</definedName>
    <definedName name="catfd_1_PHB_1">Categorienormen!$C$54</definedName>
    <definedName name="catfd_1_PHV_46">Categorienormen!$C$55</definedName>
    <definedName name="catfd_1_PHV_51">Categorienormen!$C$56</definedName>
    <definedName name="catfd_1_RHB_1">Categorienormen!$C$57</definedName>
    <definedName name="catfd_1_RHV_46">Categorienormen!$C$58</definedName>
    <definedName name="catfd_1_RRHB_1">Categorienormen!$C$23</definedName>
    <definedName name="catfd_1_RRHV_46">Categorienormen!$C$24</definedName>
    <definedName name="catfd_1_RRZB_1">Categorienormen!$C$25</definedName>
    <definedName name="catfd_1_RRZV_46">Categorienormen!$C$26</definedName>
    <definedName name="catfd_1_SHB_1">Categorienormen!$C$31</definedName>
    <definedName name="catfd_1_SHV_46">Categorienormen!$C$32</definedName>
    <definedName name="catfd_1_SHV_51">Categorienormen!$C$33</definedName>
    <definedName name="catfd_1_THB_1">Categorienormen!$C$59</definedName>
    <definedName name="catfd_1_THV_46">Categorienormen!$C$60</definedName>
    <definedName name="catfd_1_THV_51">Categorienormen!$C$61</definedName>
    <definedName name="catfd_1_VHB_1">Categorienormen!$C$62</definedName>
    <definedName name="catfd_1_VHV_1">Categorienormen!$C$63</definedName>
    <definedName name="catfd_1_VHV_26">Categorienormen!$C$64</definedName>
    <definedName name="catfd_1_VHV_46">Categorienormen!$C$65</definedName>
    <definedName name="catfd_1_VHV_51">Categorienormen!$C$66</definedName>
    <definedName name="catfd_1_WPHB_1">Categorienormen!$C$67</definedName>
    <definedName name="catfd_1_WPHV_46">Categorienormen!$C$69</definedName>
    <definedName name="catfd_1_WPHV_51">Categorienormen!$C$70</definedName>
    <definedName name="catfd_1_WPHV_6">Categorienormen!$C$68</definedName>
    <definedName name="catpn_1_AHV_12">Categorienormen!$E$36</definedName>
    <definedName name="catpn_1_AHV_2">Categorienormen!$E$34</definedName>
    <definedName name="catpn_1_AHV_6">Categorienormen!$E$35</definedName>
    <definedName name="catpn_1_AZB_1">Categorienormen!$E$37</definedName>
    <definedName name="catpn_1_AZV_46">Categorienormen!$E$38</definedName>
    <definedName name="catpn_1_BHB_1">Categorienormen!$E$6</definedName>
    <definedName name="catpn_1_BHV_46">Categorienormen!$E$7</definedName>
    <definedName name="catpn_1_BHV_51">Categorienormen!$E$8</definedName>
    <definedName name="catpn_1_BZB_1">Categorienormen!$E$9</definedName>
    <definedName name="catpn_1_BZV_46">Categorienormen!$E$10</definedName>
    <definedName name="catpn_1_BZV_51">Categorienormen!$E$11</definedName>
    <definedName name="catpn_1_CHB_1">Categorienormen!$E$39</definedName>
    <definedName name="catpn_1_CHV_46">Categorienormen!$E$40</definedName>
    <definedName name="catpn_1_CZB_1">Categorienormen!$E$41</definedName>
    <definedName name="catpn_1_CZV_46">Categorienormen!$E$42</definedName>
    <definedName name="catpn_1_DHB_1">Categorienormen!$E$27</definedName>
    <definedName name="catpn_1_DHV_46">Categorienormen!$E$28</definedName>
    <definedName name="catpn_1_EHB_1">Categorienormen!$E$43</definedName>
    <definedName name="catpn_1_EHV_46">Categorienormen!$E$44</definedName>
    <definedName name="catpn_1_EZB_1">Categorienormen!$E$45</definedName>
    <definedName name="catpn_1_EZV_46">Categorienormen!$E$46</definedName>
    <definedName name="catpn_1_FHB_1">Categorienormen!$E$47</definedName>
    <definedName name="catpn_1_FHV_51">Categorienormen!$E$48</definedName>
    <definedName name="catpn_1_GHB_1">Categorienormen!$E$49</definedName>
    <definedName name="catpn_1_GHV_46">Categorienormen!$E$50</definedName>
    <definedName name="catpn_1_HHB_1">Categorienormen!$E$12</definedName>
    <definedName name="catpn_1_HHV_46">Categorienormen!$E$13</definedName>
    <definedName name="catpn_1_IHB_1">Categorienormen!$E$51</definedName>
    <definedName name="catpn_1_IHV_46">Categorienormen!$E$52</definedName>
    <definedName name="catpn_1_IHV_51">Categorienormen!$E$53</definedName>
    <definedName name="catpn_1_KHB_1">Categorienormen!$E$29</definedName>
    <definedName name="catpn_1_KHV_46">Categorienormen!$E$30</definedName>
    <definedName name="catpn_1_MHB_1">Categorienormen!$E$14</definedName>
    <definedName name="catpn_1_MHV_46">Categorienormen!$E$15</definedName>
    <definedName name="catpn_1_OHB_1">Categorienormen!$E$16</definedName>
    <definedName name="catpn_1_OHV_46">Categorienormen!$E$17</definedName>
    <definedName name="catpn_1_OHV_51">Categorienormen!$E$18</definedName>
    <definedName name="catpn_1_OZB_1">Categorienormen!$E$19</definedName>
    <definedName name="catpn_1_OZV_51">Categorienormen!$E$20</definedName>
    <definedName name="catpn_1_PAHB_1">Categorienormen!$E$21</definedName>
    <definedName name="catpn_1_PAHV_46">Categorienormen!$E$22</definedName>
    <definedName name="catpn_1_PHB_1">Categorienormen!$E$54</definedName>
    <definedName name="catpn_1_PHV_46">Categorienormen!$E$55</definedName>
    <definedName name="catpn_1_PHV_51">Categorienormen!$E$56</definedName>
    <definedName name="catpn_1_RHB_1">Categorienormen!$E$57</definedName>
    <definedName name="catpn_1_RHV_46">Categorienormen!$E$58</definedName>
    <definedName name="catpn_1_RRHB_1">Categorienormen!$E$23</definedName>
    <definedName name="catpn_1_RRHV_46">Categorienormen!$E$24</definedName>
    <definedName name="catpn_1_RRZB_1">Categorienormen!$E$25</definedName>
    <definedName name="catpn_1_RRZV_46">Categorienormen!$E$26</definedName>
    <definedName name="catpn_1_SHB_1">Categorienormen!$E$31</definedName>
    <definedName name="catpn_1_SHV_46">Categorienormen!$E$32</definedName>
    <definedName name="catpn_1_SHV_51">Categorienormen!$E$33</definedName>
    <definedName name="catpn_1_THB_1">Categorienormen!$E$59</definedName>
    <definedName name="catpn_1_THV_46">Categorienormen!$E$60</definedName>
    <definedName name="catpn_1_THV_51">Categorienormen!$E$61</definedName>
    <definedName name="catpn_1_VHB_1">Categorienormen!$E$62</definedName>
    <definedName name="catpn_1_VHV_1">Categorienormen!$E$63</definedName>
    <definedName name="catpn_1_VHV_26">Categorienormen!$E$64</definedName>
    <definedName name="catpn_1_VHV_46">Categorienormen!$E$65</definedName>
    <definedName name="catpn_1_VHV_51">Categorienormen!$E$66</definedName>
    <definedName name="catpn_1_WPHB_1">Categorienormen!$E$67</definedName>
    <definedName name="catpn_1_WPHV_46">Categorienormen!$E$69</definedName>
    <definedName name="catpn_1_WPHV_51">Categorienormen!$E$70</definedName>
    <definedName name="catpn_1_WPHV_6">Categorienormen!$E$68</definedName>
    <definedName name="cattf_1_AHV_12">Categorienormen!$H$36</definedName>
    <definedName name="cattf_1_AHV_2">Categorienormen!$H$34</definedName>
    <definedName name="cattf_1_AHV_6">Categorienormen!$H$35</definedName>
    <definedName name="cattf_1_AZB_1">Categorienormen!$H$37</definedName>
    <definedName name="cattf_1_AZV_46">Categorienormen!$H$38</definedName>
    <definedName name="cattf_1_BHB_1">Categorienormen!$H$6</definedName>
    <definedName name="cattf_1_BHV_46">Categorienormen!$H$7</definedName>
    <definedName name="cattf_1_BHV_51">Categorienormen!$H$8</definedName>
    <definedName name="cattf_1_BZB_1">Categorienormen!$H$9</definedName>
    <definedName name="cattf_1_BZV_46">Categorienormen!$H$10</definedName>
    <definedName name="cattf_1_BZV_51">Categorienormen!$H$11</definedName>
    <definedName name="cattf_1_CHB_1">Categorienormen!$H$39</definedName>
    <definedName name="cattf_1_CHV_46">Categorienormen!$H$40</definedName>
    <definedName name="cattf_1_CZB_1">Categorienormen!$H$41</definedName>
    <definedName name="cattf_1_CZV_46">Categorienormen!$H$42</definedName>
    <definedName name="cattf_1_DHB_1">Categorienormen!$H$27</definedName>
    <definedName name="cattf_1_DHV_46">Categorienormen!$H$28</definedName>
    <definedName name="cattf_1_EHB_1">Categorienormen!$H$43</definedName>
    <definedName name="cattf_1_EHV_46">Categorienormen!$H$44</definedName>
    <definedName name="cattf_1_EZB_1">Categorienormen!$H$45</definedName>
    <definedName name="cattf_1_EZV_46">Categorienormen!$H$46</definedName>
    <definedName name="cattf_1_FHB_1">Categorienormen!$H$47</definedName>
    <definedName name="cattf_1_FHV_51">Categorienormen!$H$48</definedName>
    <definedName name="cattf_1_GHB_1">Categorienormen!$H$49</definedName>
    <definedName name="cattf_1_GHV_46">Categorienormen!$H$50</definedName>
    <definedName name="cattf_1_HHB_1">Categorienormen!$H$12</definedName>
    <definedName name="cattf_1_HHV_46">Categorienormen!$H$13</definedName>
    <definedName name="cattf_1_IHB_1">Categorienormen!$H$51</definedName>
    <definedName name="cattf_1_IHV_46">Categorienormen!$H$52</definedName>
    <definedName name="cattf_1_IHV_51">Categorienormen!$H$53</definedName>
    <definedName name="cattf_1_KHB_1">Categorienormen!$H$29</definedName>
    <definedName name="cattf_1_KHV_46">Categorienormen!$H$30</definedName>
    <definedName name="cattf_1_MHB_1">Categorienormen!$H$14</definedName>
    <definedName name="cattf_1_MHV_46">Categorienormen!$H$15</definedName>
    <definedName name="cattf_1_OHB_1">Categorienormen!$H$16</definedName>
    <definedName name="cattf_1_OHV_46">Categorienormen!$H$17</definedName>
    <definedName name="cattf_1_OHV_51">Categorienormen!$H$18</definedName>
    <definedName name="cattf_1_OZB_1">Categorienormen!$H$19</definedName>
    <definedName name="cattf_1_OZV_51">Categorienormen!$H$20</definedName>
    <definedName name="cattf_1_PAHB_1">Categorienormen!$H$21</definedName>
    <definedName name="cattf_1_PAHV_46">Categorienormen!$H$22</definedName>
    <definedName name="cattf_1_PHB_1">Categorienormen!$H$54</definedName>
    <definedName name="cattf_1_PHV_46">Categorienormen!$H$55</definedName>
    <definedName name="cattf_1_PHV_51">Categorienormen!$H$56</definedName>
    <definedName name="cattf_1_RHB_1">Categorienormen!$H$57</definedName>
    <definedName name="cattf_1_RHV_46">Categorienormen!$H$58</definedName>
    <definedName name="cattf_1_RRHB_1">Categorienormen!$H$23</definedName>
    <definedName name="cattf_1_RRHV_46">Categorienormen!$H$24</definedName>
    <definedName name="cattf_1_RRZB_1">Categorienormen!$H$25</definedName>
    <definedName name="cattf_1_RRZV_46">Categorienormen!$H$26</definedName>
    <definedName name="cattf_1_SHB_1">Categorienormen!$H$31</definedName>
    <definedName name="cattf_1_SHV_46">Categorienormen!$H$32</definedName>
    <definedName name="cattf_1_SHV_51">Categorienormen!$H$33</definedName>
    <definedName name="cattf_1_THB_1">Categorienormen!$H$59</definedName>
    <definedName name="cattf_1_THV_46">Categorienormen!$H$60</definedName>
    <definedName name="cattf_1_THV_51">Categorienormen!$H$61</definedName>
    <definedName name="cattf_1_VHB_1">Categorienormen!$H$62</definedName>
    <definedName name="cattf_1_VHV_1">Categorienormen!$H$63</definedName>
    <definedName name="cattf_1_VHV_26">Categorienormen!$H$64</definedName>
    <definedName name="cattf_1_VHV_46">Categorienormen!$H$65</definedName>
    <definedName name="cattf_1_VHV_51">Categorienormen!$H$66</definedName>
    <definedName name="cattf_1_WPHB_1">Categorienormen!$H$67</definedName>
    <definedName name="cattf_1_WPHV_46">Categorienormen!$H$69</definedName>
    <definedName name="cattf_1_WPHV_51">Categorienormen!$H$70</definedName>
    <definedName name="cattf_1_WPHV_6">Categorienormen!$H$68</definedName>
    <definedName name="dagenperjaar1">Omreken!$B$9</definedName>
    <definedName name="dagenperweek1">Omreken!$B$10</definedName>
    <definedName name="dagsoorttabel1">Omreken!$A$13:$B$36</definedName>
    <definedName name="dagwerk32">'Regulier werk'!$H$64</definedName>
    <definedName name="dagwerk33">'Regulier werk'!$H$65</definedName>
    <definedName name="dagwerk34">'Regulier werk'!$H$66</definedName>
    <definedName name="dagwerk35">'Regulier werk'!$H$67</definedName>
    <definedName name="dagwerk36">'Regulier werk'!$H$68</definedName>
    <definedName name="dagwerk37">'Regulier werk'!$H$69</definedName>
    <definedName name="dagwerk38">'Regulier werk'!$H$6</definedName>
    <definedName name="dagwerk39">'Regulier werk'!$H$7</definedName>
    <definedName name="dagwerk40">'Regulier werk'!$H$8</definedName>
    <definedName name="dagwerk41">'Regulier werk'!$H$9</definedName>
    <definedName name="dagwerk42">'Regulier werk'!$H$10</definedName>
    <definedName name="dagwerk43">'Regulier werk'!$H$11</definedName>
    <definedName name="dagwerk44">'Regulier werk'!$H$12</definedName>
    <definedName name="dagwerk45">'Regulier werk'!$H$13</definedName>
    <definedName name="dagwerk46">'Regulier werk'!$H$14</definedName>
    <definedName name="dagwerk47">'Regulier werk'!$H$15</definedName>
    <definedName name="dagwerk48">'Regulier werk'!$H$16</definedName>
    <definedName name="dagwerk49">'Regulier werk'!$H$17</definedName>
    <definedName name="dagwerk50">'Regulier werk'!$H$18</definedName>
    <definedName name="dagwerk51">'Regulier werk'!$H$19</definedName>
    <definedName name="dagwerk52">'Regulier werk'!$H$20</definedName>
    <definedName name="dagwerk53">'Regulier werk'!$H$21</definedName>
    <definedName name="dagwerk54">'Regulier werk'!$H$22</definedName>
    <definedName name="dagwerk55">'Regulier werk'!$H$23</definedName>
    <definedName name="dagwerk56">'Regulier werk'!$H$24</definedName>
    <definedName name="dagwerk57">'Regulier werk'!$H$25</definedName>
    <definedName name="dagwerk58">'Regulier werk'!$H$26</definedName>
    <definedName name="dagwerk59">'Regulier werk'!$H$27</definedName>
    <definedName name="dagwerk60">'Regulier werk'!$H$28</definedName>
    <definedName name="dagwerk61">'Regulier werk'!$H$29</definedName>
    <definedName name="dagwerk62">'Regulier werk'!$H$30</definedName>
    <definedName name="dagwerk63">'Regulier werk'!$H$31</definedName>
    <definedName name="dagwerk64">'Regulier werk'!$H$32</definedName>
    <definedName name="dagwerk65">'Regulier werk'!$H$33</definedName>
    <definedName name="dagwerk66">'Regulier werk'!$H$34</definedName>
    <definedName name="dagwerk67">'Regulier werk'!$H$35</definedName>
    <definedName name="dagwerk68">'Regulier werk'!$H$36</definedName>
    <definedName name="dagwerk69">'Regulier werk'!$H$37</definedName>
    <definedName name="dagwerk70">'Regulier werk'!$H$38</definedName>
    <definedName name="dagwerk71">'Regulier werk'!$H$39</definedName>
    <definedName name="dagwerk72">'Regulier werk'!$H$40</definedName>
    <definedName name="dagwerk73">'Regulier werk'!$H$41</definedName>
    <definedName name="dagwerk74">'Regulier werk'!$H$42</definedName>
    <definedName name="dagwerk75">'Regulier werk'!$H$43</definedName>
    <definedName name="dagwerk76">'Regulier werk'!$H$44</definedName>
    <definedName name="dagwerk77">'Regulier werk'!$H$45</definedName>
    <definedName name="dagwerk78">'Regulier werk'!$H$46</definedName>
    <definedName name="dagwerk79">'Regulier werk'!$H$47</definedName>
    <definedName name="dagwerk80">'Regulier werk'!$H$48</definedName>
    <definedName name="dagwerk81">'Regulier werk'!$H$49</definedName>
    <definedName name="dagwerk82">'Regulier werk'!$H$50</definedName>
    <definedName name="dagwerk83">'Regulier werk'!$H$51</definedName>
    <definedName name="dagwerk84">'Regulier werk'!$H$52</definedName>
    <definedName name="dagwerk85">'Regulier werk'!$H$53</definedName>
    <definedName name="dagwerk86">'Regulier werk'!$H$54</definedName>
    <definedName name="dagwerk87">'Regulier werk'!$H$55</definedName>
    <definedName name="dagwerk88">'Regulier werk'!$H$56</definedName>
    <definedName name="dagwerk89">'Regulier werk'!$H$57</definedName>
    <definedName name="dagwerk90">'Regulier werk'!$H$58</definedName>
    <definedName name="dagwerk91">'Regulier werk'!$H$59</definedName>
    <definedName name="dagwerk92">'Regulier werk'!$H$60</definedName>
    <definedName name="dagwerk93">'Regulier werk'!$H$61</definedName>
    <definedName name="dagwerk94">'Regulier werk'!$H$62</definedName>
    <definedName name="dagwerk95">'Regulier werk'!$H$63</definedName>
    <definedName name="dagwerktabel1">Objectinformatie!$H$5:$H$68</definedName>
    <definedName name="gemuurtarief1">'Regulier werk'!$J$72</definedName>
    <definedName name="kengetaltabel1">Objectinformatie!$G$5:$G$68</definedName>
    <definedName name="object1_gemuurtarief1">'Ruimten werkdag'!$P$417</definedName>
    <definedName name="object1_opptabel1">Objectinformatie!$J$5:$J$68</definedName>
    <definedName name="object1_prijsdag1">'Ruimten werkdag'!$S$417</definedName>
    <definedName name="object1_prijsjaar1">'Ruimten werkdag'!$U$417</definedName>
    <definedName name="object1_urendag1">'Ruimten werkdag'!$Q$417</definedName>
    <definedName name="object1_urendaghf1">'Ruimten werkdag'!$R$417</definedName>
    <definedName name="object1_urenjaar1">'Ruimten werkdag'!$T$417</definedName>
    <definedName name="objectprijs1_1">Objecten!$Q$6</definedName>
    <definedName name="objecturen1_1">Objecten!$P$6</definedName>
    <definedName name="objecturenhf1_1">Objecten!$O$6</definedName>
    <definedName name="prijsdag1">'Regulier werk'!$L$70</definedName>
    <definedName name="prijsjaar">'Regulier werk'!$N$75</definedName>
    <definedName name="prijsjaar1">'Regulier werk'!$N$70</definedName>
    <definedName name="prijsjaaradditioneel">'Additioneel werk'!$K$32</definedName>
    <definedName name="prijsjaaradditioneel1">'Additioneel werk'!$K$30</definedName>
    <definedName name="prijsjaarafroep">Afroep!$K$86</definedName>
    <definedName name="prijsjaarafroep1">Afroep!$K$22</definedName>
    <definedName name="prijsjaarafroep2">Afroep!$K$53</definedName>
    <definedName name="prijsjaarafroep3">Afroep!$K$84</definedName>
    <definedName name="prijsjaarglas">Glas!$K$18</definedName>
    <definedName name="prijsjaarglas1">Glas!$K$16</definedName>
    <definedName name="prijsjaarnietmeewerkend">'Niet-meewerkende objectleiding'!$J$18</definedName>
    <definedName name="prijsjaarregie">Regiewerk!$K$11</definedName>
    <definedName name="prijsjaarregie1">Regiewerk!$K$9</definedName>
    <definedName name="prijsjaartotaal">Objecten!$Q$10</definedName>
    <definedName name="prijsjaartotaal1">Objecten!$Q$7</definedName>
    <definedName name="prijsjaartotaaloverzicht">'Totaalblad Objecten'!$G$6</definedName>
    <definedName name="prijsmaandtotaal1">Objecten!$R$7</definedName>
    <definedName name="prodnorm0">Regiewerk!$H$8</definedName>
    <definedName name="prodnorm10">Afroep!$H$14</definedName>
    <definedName name="prodnorm100">Afroep!$H$29</definedName>
    <definedName name="prodnorm101">Afroep!$H$30</definedName>
    <definedName name="prodnorm102">Afroep!$H$31</definedName>
    <definedName name="prodnorm103">Afroep!$H$32</definedName>
    <definedName name="prodnorm104">Afroep!$H$33</definedName>
    <definedName name="prodnorm105">Afroep!$H$34</definedName>
    <definedName name="prodnorm106">Afroep!$H$35</definedName>
    <definedName name="prodnorm107">Afroep!$H$36</definedName>
    <definedName name="prodnorm108">Afroep!$H$37</definedName>
    <definedName name="prodnorm109">Afroep!$H$38</definedName>
    <definedName name="prodnorm11">Afroep!$H$15</definedName>
    <definedName name="prodnorm110">Afroep!$H$40</definedName>
    <definedName name="prodnorm111">Afroep!$H$41</definedName>
    <definedName name="prodnorm112">Afroep!$H$42</definedName>
    <definedName name="prodnorm113">Afroep!$H$43</definedName>
    <definedName name="prodnorm114">Afroep!$H$44</definedName>
    <definedName name="prodnorm115">Afroep!$H$45</definedName>
    <definedName name="prodnorm116">Afroep!$H$46</definedName>
    <definedName name="prodnorm117">Afroep!$H$47</definedName>
    <definedName name="prodnorm118">Afroep!$H$48</definedName>
    <definedName name="prodnorm119">Afroep!$H$49</definedName>
    <definedName name="prodnorm12">Afroep!$H$16</definedName>
    <definedName name="prodnorm120">Afroep!$H$50</definedName>
    <definedName name="prodnorm121">Afroep!$H$51</definedName>
    <definedName name="prodnorm122">Afroep!$H$52</definedName>
    <definedName name="prodnorm123">Afroep!$H$56</definedName>
    <definedName name="prodnorm124">Afroep!$H$57</definedName>
    <definedName name="prodnorm125">Afroep!$H$58</definedName>
    <definedName name="prodnorm126">Afroep!$H$59</definedName>
    <definedName name="prodnorm127">Afroep!$H$60</definedName>
    <definedName name="prodnorm128">Afroep!$H$61</definedName>
    <definedName name="prodnorm129">Afroep!$H$62</definedName>
    <definedName name="prodnorm13">Afroep!$H$17</definedName>
    <definedName name="prodnorm130">Afroep!$H$63</definedName>
    <definedName name="prodnorm131">Afroep!$H$64</definedName>
    <definedName name="prodnorm132">Afroep!$H$65</definedName>
    <definedName name="prodnorm133">Afroep!$H$66</definedName>
    <definedName name="prodnorm134">Afroep!$H$67</definedName>
    <definedName name="prodnorm135">Afroep!$H$68</definedName>
    <definedName name="prodnorm136">Afroep!$H$69</definedName>
    <definedName name="prodnorm137">Afroep!$H$71</definedName>
    <definedName name="prodnorm138">Afroep!$H$72</definedName>
    <definedName name="prodnorm139">Afroep!$H$73</definedName>
    <definedName name="prodnorm14">Afroep!$H$18</definedName>
    <definedName name="prodnorm140">Afroep!$H$74</definedName>
    <definedName name="prodnorm141">Afroep!$H$75</definedName>
    <definedName name="prodnorm142">Afroep!$H$76</definedName>
    <definedName name="prodnorm143">Afroep!$H$77</definedName>
    <definedName name="prodnorm144">Afroep!$H$78</definedName>
    <definedName name="prodnorm145">Afroep!$H$79</definedName>
    <definedName name="prodnorm146">Afroep!$H$80</definedName>
    <definedName name="prodnorm147">Afroep!$H$81</definedName>
    <definedName name="prodnorm148">Afroep!$H$82</definedName>
    <definedName name="prodnorm149">Afroep!$H$83</definedName>
    <definedName name="prodnorm15">Afroep!$H$19</definedName>
    <definedName name="prodnorm16">Afroep!$H$20</definedName>
    <definedName name="prodnorm17">Glas!$H$6</definedName>
    <definedName name="prodnorm18">Glas!$H$7</definedName>
    <definedName name="prodnorm19">Glas!$H$8</definedName>
    <definedName name="prodnorm2">Afroep!$H$6</definedName>
    <definedName name="prodnorm20">Glas!$H$9</definedName>
    <definedName name="prodnorm21">Glas!$H$10</definedName>
    <definedName name="prodnorm22">Glas!$H$11</definedName>
    <definedName name="prodnorm23">Glas!$H$12</definedName>
    <definedName name="prodnorm24">Glas!$H$13</definedName>
    <definedName name="prodnorm25">Glas!$H$14</definedName>
    <definedName name="prodnorm26">Glas!$H$15</definedName>
    <definedName name="prodnorm27">Afroep!$H$21</definedName>
    <definedName name="prodnorm28">'Additioneel werk'!$H$26</definedName>
    <definedName name="prodnorm29">'Additioneel werk'!$H$27</definedName>
    <definedName name="prodnorm3">Afroep!$H$7</definedName>
    <definedName name="prodnorm30">'Additioneel werk'!$H$28</definedName>
    <definedName name="prodnorm31">'Additioneel werk'!$H$29</definedName>
    <definedName name="prodnorm32">'Regulier werk'!$G$64</definedName>
    <definedName name="prodnorm33">'Regulier werk'!$G$65</definedName>
    <definedName name="prodnorm34">'Regulier werk'!$G$66</definedName>
    <definedName name="prodnorm35">'Regulier werk'!$G$67</definedName>
    <definedName name="prodnorm36">'Regulier werk'!$G$68</definedName>
    <definedName name="prodnorm37">'Regulier werk'!$G$69</definedName>
    <definedName name="prodnorm38">'Regulier werk'!$G$6</definedName>
    <definedName name="prodnorm39">'Regulier werk'!$G$7</definedName>
    <definedName name="prodnorm4">Afroep!$H$8</definedName>
    <definedName name="prodnorm40">'Regulier werk'!$G$8</definedName>
    <definedName name="prodnorm41">'Regulier werk'!$G$9</definedName>
    <definedName name="prodnorm42">'Regulier werk'!$G$10</definedName>
    <definedName name="prodnorm43">'Regulier werk'!$G$11</definedName>
    <definedName name="prodnorm44">'Regulier werk'!$G$12</definedName>
    <definedName name="prodnorm45">'Regulier werk'!$G$13</definedName>
    <definedName name="prodnorm46">'Regulier werk'!$G$14</definedName>
    <definedName name="prodnorm47">'Regulier werk'!$G$15</definedName>
    <definedName name="prodnorm48">'Regulier werk'!$G$16</definedName>
    <definedName name="prodnorm49">'Regulier werk'!$G$17</definedName>
    <definedName name="prodnorm5">Afroep!$H$9</definedName>
    <definedName name="prodnorm50">'Regulier werk'!$G$18</definedName>
    <definedName name="prodnorm51">'Regulier werk'!$G$19</definedName>
    <definedName name="prodnorm52">'Regulier werk'!$G$20</definedName>
    <definedName name="prodnorm53">'Regulier werk'!$G$21</definedName>
    <definedName name="prodnorm54">'Regulier werk'!$G$22</definedName>
    <definedName name="prodnorm55">'Regulier werk'!$G$23</definedName>
    <definedName name="prodnorm56">'Regulier werk'!$G$24</definedName>
    <definedName name="prodnorm57">'Regulier werk'!$G$25</definedName>
    <definedName name="prodnorm58">'Regulier werk'!$G$26</definedName>
    <definedName name="prodnorm59">'Regulier werk'!$G$27</definedName>
    <definedName name="prodnorm6">Afroep!$H$10</definedName>
    <definedName name="prodnorm60">'Regulier werk'!$G$28</definedName>
    <definedName name="prodnorm61">'Regulier werk'!$G$29</definedName>
    <definedName name="prodnorm62">'Regulier werk'!$G$30</definedName>
    <definedName name="prodnorm63">'Regulier werk'!$G$31</definedName>
    <definedName name="prodnorm64">'Regulier werk'!$G$32</definedName>
    <definedName name="prodnorm65">'Regulier werk'!$G$33</definedName>
    <definedName name="prodnorm66">'Regulier werk'!$G$34</definedName>
    <definedName name="prodnorm67">'Regulier werk'!$G$35</definedName>
    <definedName name="prodnorm68">'Regulier werk'!$G$36</definedName>
    <definedName name="prodnorm69">'Regulier werk'!$G$37</definedName>
    <definedName name="prodnorm7">Afroep!$H$11</definedName>
    <definedName name="prodnorm70">'Regulier werk'!$G$38</definedName>
    <definedName name="prodnorm71">'Regulier werk'!$G$39</definedName>
    <definedName name="prodnorm72">'Regulier werk'!$G$40</definedName>
    <definedName name="prodnorm73">'Regulier werk'!$G$41</definedName>
    <definedName name="prodnorm74">'Regulier werk'!$G$42</definedName>
    <definedName name="prodnorm75">'Regulier werk'!$G$43</definedName>
    <definedName name="prodnorm76">'Regulier werk'!$G$44</definedName>
    <definedName name="prodnorm77">'Regulier werk'!$G$45</definedName>
    <definedName name="prodnorm78">'Regulier werk'!$G$46</definedName>
    <definedName name="prodnorm79">'Regulier werk'!$G$47</definedName>
    <definedName name="prodnorm8">Afroep!$H$12</definedName>
    <definedName name="prodnorm80">'Regulier werk'!$G$48</definedName>
    <definedName name="prodnorm81">'Regulier werk'!$G$49</definedName>
    <definedName name="prodnorm82">'Regulier werk'!$G$50</definedName>
    <definedName name="prodnorm83">'Regulier werk'!$G$51</definedName>
    <definedName name="prodnorm84">'Regulier werk'!$G$52</definedName>
    <definedName name="prodnorm85">'Regulier werk'!$G$53</definedName>
    <definedName name="prodnorm86">'Regulier werk'!$G$54</definedName>
    <definedName name="prodnorm87">'Regulier werk'!$G$55</definedName>
    <definedName name="prodnorm88">'Regulier werk'!$G$56</definedName>
    <definedName name="prodnorm89">'Regulier werk'!$G$57</definedName>
    <definedName name="prodnorm9">Afroep!$H$13</definedName>
    <definedName name="prodnorm90">'Regulier werk'!$G$58</definedName>
    <definedName name="prodnorm91">'Regulier werk'!$G$59</definedName>
    <definedName name="prodnorm92">'Regulier werk'!$G$60</definedName>
    <definedName name="prodnorm93">'Regulier werk'!$G$61</definedName>
    <definedName name="prodnorm94">'Regulier werk'!$G$62</definedName>
    <definedName name="prodnorm95">'Regulier werk'!$G$63</definedName>
    <definedName name="prodnorm96">Afroep!$H$25</definedName>
    <definedName name="prodnorm97">Afroep!$H$26</definedName>
    <definedName name="prodnorm98">Afroep!$H$27</definedName>
    <definedName name="prodnorm99">Afroep!$H$28</definedName>
    <definedName name="taakfreqtabel1">Objectinformatie!$E$5:$E$68</definedName>
    <definedName name="tabeltype">Omreken!$B$5:$B$5</definedName>
    <definedName name="tarieftabel1">Objectinformatie!$I$5:$I$68</definedName>
    <definedName name="tzpjt1">'Niet-meewerkende objectleiding'!$J$15</definedName>
    <definedName name="tzpjt1_1">'Niet-meewerkende objectleiding'!$J$13</definedName>
    <definedName name="tzpmt1">'Niet-meewerkende objectleiding'!$K$15</definedName>
    <definedName name="tzpmt1_1">'Niet-meewerkende objectleiding'!$K$13</definedName>
    <definedName name="tzujt1">'Niet-meewerkende objectleiding'!$H$15</definedName>
    <definedName name="tzujt1_1">'Niet-meewerkende objectleiding'!$H$13</definedName>
    <definedName name="urendag1">'Regulier werk'!$K$70</definedName>
    <definedName name="urenjaar">'Regulier werk'!$M$75</definedName>
    <definedName name="urenjaar1">'Regulier werk'!$M$70</definedName>
    <definedName name="urenjaarnietmeewerkend">'Niet-meewerkende objectleiding'!$H$18</definedName>
    <definedName name="urenjaartotaal">Objecten!$P$10</definedName>
    <definedName name="urenjaartotaal1">Objecten!$P$7</definedName>
    <definedName name="urenjaartotaalhf">Objecten!$O$10</definedName>
    <definedName name="urenjaartotaalhf1">Objecten!$O$7</definedName>
    <definedName name="urenjaartotaaloverzicht">'Totaalblad Objecten'!$F$6</definedName>
    <definedName name="urenjaartotaaloverzichthf">'Totaalblad Objecten'!$E$6</definedName>
    <definedName name="uurfactortabel1">Objectinformatie!$F$5:$F$68</definedName>
    <definedName name="uurtarief0">Regiewerk!$I$8</definedName>
    <definedName name="uurtarief10">Afroep!$G$14</definedName>
    <definedName name="uurtarief100">Afroep!$G$29</definedName>
    <definedName name="uurtarief101">Afroep!$G$30</definedName>
    <definedName name="uurtarief102">Afroep!$G$31</definedName>
    <definedName name="uurtarief103">Afroep!$G$32</definedName>
    <definedName name="uurtarief104">Afroep!$G$33</definedName>
    <definedName name="uurtarief105">Afroep!$G$34</definedName>
    <definedName name="uurtarief106">Afroep!$G$35</definedName>
    <definedName name="uurtarief107">Afroep!$G$36</definedName>
    <definedName name="uurtarief108">Afroep!$G$37</definedName>
    <definedName name="uurtarief109">Afroep!$G$38</definedName>
    <definedName name="uurtarief11">Afroep!$G$15</definedName>
    <definedName name="uurtarief110">Afroep!$G$40</definedName>
    <definedName name="uurtarief111">Afroep!$G$41</definedName>
    <definedName name="uurtarief112">Afroep!$G$42</definedName>
    <definedName name="uurtarief113">Afroep!$G$43</definedName>
    <definedName name="uurtarief114">Afroep!$G$44</definedName>
    <definedName name="uurtarief115">Afroep!$G$45</definedName>
    <definedName name="uurtarief116">Afroep!$G$46</definedName>
    <definedName name="uurtarief117">Afroep!$G$47</definedName>
    <definedName name="uurtarief118">Afroep!$G$48</definedName>
    <definedName name="uurtarief119">Afroep!$G$49</definedName>
    <definedName name="uurtarief12">Afroep!$G$16</definedName>
    <definedName name="uurtarief120">Afroep!$G$50</definedName>
    <definedName name="uurtarief121">Afroep!$I$51</definedName>
    <definedName name="uurtarief122">Afroep!$G$52</definedName>
    <definedName name="uurtarief123">Afroep!$G$56</definedName>
    <definedName name="uurtarief124">Afroep!$G$57</definedName>
    <definedName name="uurtarief125">Afroep!$G$58</definedName>
    <definedName name="uurtarief126">Afroep!$G$59</definedName>
    <definedName name="uurtarief127">Afroep!$G$60</definedName>
    <definedName name="uurtarief128">Afroep!$G$61</definedName>
    <definedName name="uurtarief129">Afroep!$G$62</definedName>
    <definedName name="uurtarief13">Afroep!$G$17</definedName>
    <definedName name="uurtarief130">Afroep!$G$63</definedName>
    <definedName name="uurtarief131">Afroep!$G$64</definedName>
    <definedName name="uurtarief132">Afroep!$G$65</definedName>
    <definedName name="uurtarief133">Afroep!$G$66</definedName>
    <definedName name="uurtarief134">Afroep!$G$67</definedName>
    <definedName name="uurtarief135">Afroep!$G$68</definedName>
    <definedName name="uurtarief136">Afroep!$G$69</definedName>
    <definedName name="uurtarief137">Afroep!$G$71</definedName>
    <definedName name="uurtarief138">Afroep!$G$72</definedName>
    <definedName name="uurtarief139">Afroep!$G$73</definedName>
    <definedName name="uurtarief14">Afroep!$G$18</definedName>
    <definedName name="uurtarief140">Afroep!$G$74</definedName>
    <definedName name="uurtarief141">Afroep!$G$75</definedName>
    <definedName name="uurtarief142">Afroep!$G$76</definedName>
    <definedName name="uurtarief143">Afroep!$G$77</definedName>
    <definedName name="uurtarief144">Afroep!$G$78</definedName>
    <definedName name="uurtarief145">Afroep!$G$79</definedName>
    <definedName name="uurtarief146">Afroep!$G$80</definedName>
    <definedName name="uurtarief147">Afroep!$G$81</definedName>
    <definedName name="uurtarief148">Afroep!$I$82</definedName>
    <definedName name="uurtarief149">Afroep!$G$83</definedName>
    <definedName name="uurtarief15">Afroep!$G$19</definedName>
    <definedName name="uurtarief16">Afroep!$I$20</definedName>
    <definedName name="uurtarief17">Glas!$I$6</definedName>
    <definedName name="uurtarief18">Glas!$I$7</definedName>
    <definedName name="uurtarief19">Glas!$I$8</definedName>
    <definedName name="uurtarief2">Afroep!$G$6</definedName>
    <definedName name="uurtarief20">Glas!$I$9</definedName>
    <definedName name="uurtarief21">Glas!$I$10</definedName>
    <definedName name="uurtarief22">Glas!$I$11</definedName>
    <definedName name="uurtarief23">Glas!$I$12</definedName>
    <definedName name="uurtarief24">Glas!$I$13</definedName>
    <definedName name="uurtarief25">Glas!$I$14</definedName>
    <definedName name="uurtarief26">Glas!$I$15</definedName>
    <definedName name="uurtarief27">Afroep!$I$21</definedName>
    <definedName name="uurtarief28">'Additioneel werk'!$G$26</definedName>
    <definedName name="uurtarief29">'Additioneel werk'!$G$27</definedName>
    <definedName name="uurtarief3">Afroep!$G$7</definedName>
    <definedName name="uurtarief30">'Additioneel werk'!$G$28</definedName>
    <definedName name="uurtarief31">'Additioneel werk'!$G$29</definedName>
    <definedName name="uurtarief32">'Regulier werk'!$J$64</definedName>
    <definedName name="uurtarief33">'Regulier werk'!$J$65</definedName>
    <definedName name="uurtarief34">'Regulier werk'!$J$66</definedName>
    <definedName name="uurtarief35">'Regulier werk'!$J$67</definedName>
    <definedName name="uurtarief36">'Regulier werk'!$J$68</definedName>
    <definedName name="uurtarief37">'Regulier werk'!$J$69</definedName>
    <definedName name="uurtarief38">'Regulier werk'!$J$6</definedName>
    <definedName name="uurtarief39">'Regulier werk'!$J$7</definedName>
    <definedName name="uurtarief4">Afroep!$G$8</definedName>
    <definedName name="uurtarief40">'Regulier werk'!$J$8</definedName>
    <definedName name="uurtarief41">'Regulier werk'!$J$9</definedName>
    <definedName name="uurtarief42">'Regulier werk'!$J$10</definedName>
    <definedName name="uurtarief43">'Regulier werk'!$J$11</definedName>
    <definedName name="uurtarief44">'Regulier werk'!$J$12</definedName>
    <definedName name="uurtarief45">'Regulier werk'!$J$13</definedName>
    <definedName name="uurtarief46">'Regulier werk'!$J$14</definedName>
    <definedName name="uurtarief47">'Regulier werk'!$J$15</definedName>
    <definedName name="uurtarief48">'Regulier werk'!$J$16</definedName>
    <definedName name="uurtarief49">'Regulier werk'!$J$17</definedName>
    <definedName name="uurtarief5">Afroep!$G$9</definedName>
    <definedName name="uurtarief50">'Regulier werk'!$J$18</definedName>
    <definedName name="uurtarief51">'Regulier werk'!$J$19</definedName>
    <definedName name="uurtarief52">'Regulier werk'!$J$20</definedName>
    <definedName name="uurtarief53">'Regulier werk'!$J$21</definedName>
    <definedName name="uurtarief54">'Regulier werk'!$J$22</definedName>
    <definedName name="uurtarief55">'Regulier werk'!$J$23</definedName>
    <definedName name="uurtarief56">'Regulier werk'!$J$24</definedName>
    <definedName name="uurtarief57">'Regulier werk'!$J$25</definedName>
    <definedName name="uurtarief58">'Regulier werk'!$J$26</definedName>
    <definedName name="uurtarief59">'Regulier werk'!$J$27</definedName>
    <definedName name="uurtarief6">Afroep!$G$10</definedName>
    <definedName name="uurtarief60">'Regulier werk'!$J$28</definedName>
    <definedName name="uurtarief61">'Regulier werk'!$J$29</definedName>
    <definedName name="uurtarief62">'Regulier werk'!$J$30</definedName>
    <definedName name="uurtarief63">'Regulier werk'!$J$31</definedName>
    <definedName name="uurtarief64">'Regulier werk'!$J$32</definedName>
    <definedName name="uurtarief65">'Regulier werk'!$J$33</definedName>
    <definedName name="uurtarief66">'Regulier werk'!$J$34</definedName>
    <definedName name="uurtarief67">'Regulier werk'!$J$35</definedName>
    <definedName name="uurtarief68">'Regulier werk'!$J$36</definedName>
    <definedName name="uurtarief69">'Regulier werk'!$J$37</definedName>
    <definedName name="uurtarief7">Afroep!$G$11</definedName>
    <definedName name="uurtarief70">'Regulier werk'!$J$38</definedName>
    <definedName name="uurtarief71">'Regulier werk'!$J$39</definedName>
    <definedName name="uurtarief72">'Regulier werk'!$J$40</definedName>
    <definedName name="uurtarief73">'Regulier werk'!$J$41</definedName>
    <definedName name="uurtarief74">'Regulier werk'!$J$42</definedName>
    <definedName name="uurtarief75">'Regulier werk'!$J$43</definedName>
    <definedName name="uurtarief76">'Regulier werk'!$J$44</definedName>
    <definedName name="uurtarief77">'Regulier werk'!$J$45</definedName>
    <definedName name="uurtarief78">'Regulier werk'!$J$46</definedName>
    <definedName name="uurtarief79">'Regulier werk'!$J$47</definedName>
    <definedName name="uurtarief8">Afroep!$G$12</definedName>
    <definedName name="uurtarief80">'Regulier werk'!$J$48</definedName>
    <definedName name="uurtarief81">'Regulier werk'!$J$49</definedName>
    <definedName name="uurtarief82">'Regulier werk'!$J$50</definedName>
    <definedName name="uurtarief83">'Regulier werk'!$J$51</definedName>
    <definedName name="uurtarief84">'Regulier werk'!$J$52</definedName>
    <definedName name="uurtarief85">'Regulier werk'!$J$53</definedName>
    <definedName name="uurtarief86">'Regulier werk'!$J$54</definedName>
    <definedName name="uurtarief87">'Regulier werk'!$J$55</definedName>
    <definedName name="uurtarief88">'Regulier werk'!$J$56</definedName>
    <definedName name="uurtarief89">'Regulier werk'!$J$57</definedName>
    <definedName name="uurtarief9">Afroep!$G$13</definedName>
    <definedName name="uurtarief90">'Regulier werk'!$J$58</definedName>
    <definedName name="uurtarief91">'Regulier werk'!$J$59</definedName>
    <definedName name="uurtarief92">'Regulier werk'!$J$60</definedName>
    <definedName name="uurtarief93">'Regulier werk'!$J$61</definedName>
    <definedName name="uurtarief94">'Regulier werk'!$J$62</definedName>
    <definedName name="uurtarief95">'Regulier werk'!$J$63</definedName>
    <definedName name="uurtarief96">Afroep!$G$25</definedName>
    <definedName name="uurtarief97">Afroep!$G$26</definedName>
    <definedName name="uurtarief98">Afroep!$G$27</definedName>
    <definedName name="uurtarief99">Afroep!$G$28</definedName>
    <definedName name="vu_variant">Totaal!$B$11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4" l="1"/>
  <c r="E17" i="14"/>
  <c r="A1" i="14"/>
  <c r="J15" i="13"/>
  <c r="J14" i="13"/>
  <c r="J13" i="13"/>
  <c r="J12" i="13"/>
  <c r="J11" i="13"/>
  <c r="J10" i="13"/>
  <c r="J9" i="13"/>
  <c r="J8" i="13"/>
  <c r="J7" i="13"/>
  <c r="J6" i="13"/>
  <c r="A1" i="13"/>
  <c r="J8" i="12"/>
  <c r="J7" i="12"/>
  <c r="J6" i="12"/>
  <c r="A1" i="12"/>
  <c r="A1" i="11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A1" i="10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A1" i="9"/>
  <c r="A1" i="8"/>
  <c r="J12" i="7"/>
  <c r="K12" i="7" s="1"/>
  <c r="H12" i="7"/>
  <c r="C12" i="7"/>
  <c r="I12" i="7" s="1"/>
  <c r="J11" i="7"/>
  <c r="K11" i="7" s="1"/>
  <c r="H11" i="7"/>
  <c r="C11" i="7"/>
  <c r="I11" i="7" s="1"/>
  <c r="J10" i="7"/>
  <c r="K10" i="7" s="1"/>
  <c r="H10" i="7"/>
  <c r="C10" i="7"/>
  <c r="I10" i="7" s="1"/>
  <c r="J9" i="7"/>
  <c r="K9" i="7" s="1"/>
  <c r="H9" i="7"/>
  <c r="C9" i="7"/>
  <c r="I9" i="7" s="1"/>
  <c r="J8" i="7"/>
  <c r="H8" i="7"/>
  <c r="H13" i="7" s="1"/>
  <c r="A1" i="7"/>
  <c r="A1" i="6"/>
  <c r="I68" i="5"/>
  <c r="H68" i="5"/>
  <c r="G68" i="5"/>
  <c r="I67" i="5"/>
  <c r="H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P392" i="4"/>
  <c r="N392" i="4"/>
  <c r="M392" i="4"/>
  <c r="P388" i="4"/>
  <c r="N388" i="4"/>
  <c r="M388" i="4"/>
  <c r="P64" i="4"/>
  <c r="N64" i="4"/>
  <c r="M64" i="4"/>
  <c r="P63" i="4"/>
  <c r="N63" i="4"/>
  <c r="M63" i="4"/>
  <c r="P10" i="4"/>
  <c r="N10" i="4"/>
  <c r="P9" i="4"/>
  <c r="N9" i="4"/>
  <c r="M9" i="4"/>
  <c r="P8" i="4"/>
  <c r="N8" i="4"/>
  <c r="M8" i="4"/>
  <c r="P7" i="4"/>
  <c r="N7" i="4"/>
  <c r="M7" i="4"/>
  <c r="P6" i="4"/>
  <c r="N6" i="4"/>
  <c r="M6" i="4"/>
  <c r="A1" i="4"/>
  <c r="K63" i="3"/>
  <c r="K62" i="3"/>
  <c r="J61" i="3"/>
  <c r="H61" i="3"/>
  <c r="G61" i="3"/>
  <c r="J60" i="3"/>
  <c r="H60" i="3"/>
  <c r="G60" i="3"/>
  <c r="J59" i="3"/>
  <c r="H59" i="3"/>
  <c r="G59" i="3"/>
  <c r="J58" i="3"/>
  <c r="H58" i="3"/>
  <c r="G58" i="3"/>
  <c r="J57" i="3"/>
  <c r="H57" i="3"/>
  <c r="G57" i="3"/>
  <c r="J56" i="3"/>
  <c r="H56" i="3"/>
  <c r="G56" i="3"/>
  <c r="J55" i="3"/>
  <c r="H55" i="3"/>
  <c r="G55" i="3"/>
  <c r="J54" i="3"/>
  <c r="H54" i="3"/>
  <c r="G54" i="3"/>
  <c r="J53" i="3"/>
  <c r="H53" i="3"/>
  <c r="G53" i="3"/>
  <c r="J52" i="3"/>
  <c r="H52" i="3"/>
  <c r="G52" i="3"/>
  <c r="J51" i="3"/>
  <c r="H51" i="3"/>
  <c r="G51" i="3"/>
  <c r="J50" i="3"/>
  <c r="H50" i="3"/>
  <c r="G50" i="3"/>
  <c r="J49" i="3"/>
  <c r="H49" i="3"/>
  <c r="G49" i="3"/>
  <c r="J48" i="3"/>
  <c r="H48" i="3"/>
  <c r="G48" i="3"/>
  <c r="J47" i="3"/>
  <c r="H47" i="3"/>
  <c r="G47" i="3"/>
  <c r="J46" i="3"/>
  <c r="H46" i="3"/>
  <c r="G46" i="3"/>
  <c r="J45" i="3"/>
  <c r="H45" i="3"/>
  <c r="G45" i="3"/>
  <c r="J44" i="3"/>
  <c r="H44" i="3"/>
  <c r="G44" i="3"/>
  <c r="J43" i="3"/>
  <c r="H43" i="3"/>
  <c r="G43" i="3"/>
  <c r="J42" i="3"/>
  <c r="H42" i="3"/>
  <c r="G42" i="3"/>
  <c r="J41" i="3"/>
  <c r="H41" i="3"/>
  <c r="G41" i="3"/>
  <c r="J40" i="3"/>
  <c r="H40" i="3"/>
  <c r="G40" i="3"/>
  <c r="J39" i="3"/>
  <c r="H39" i="3"/>
  <c r="G39" i="3"/>
  <c r="J38" i="3"/>
  <c r="H38" i="3"/>
  <c r="G38" i="3"/>
  <c r="J37" i="3"/>
  <c r="H37" i="3"/>
  <c r="G37" i="3"/>
  <c r="J36" i="3"/>
  <c r="H36" i="3"/>
  <c r="G36" i="3"/>
  <c r="J35" i="3"/>
  <c r="H35" i="3"/>
  <c r="G35" i="3"/>
  <c r="J34" i="3"/>
  <c r="H34" i="3"/>
  <c r="G34" i="3"/>
  <c r="J33" i="3"/>
  <c r="H33" i="3"/>
  <c r="G33" i="3"/>
  <c r="J32" i="3"/>
  <c r="H32" i="3"/>
  <c r="G32" i="3"/>
  <c r="J31" i="3"/>
  <c r="H31" i="3"/>
  <c r="G31" i="3"/>
  <c r="J30" i="3"/>
  <c r="H30" i="3"/>
  <c r="G30" i="3"/>
  <c r="J29" i="3"/>
  <c r="H29" i="3"/>
  <c r="G29" i="3"/>
  <c r="J28" i="3"/>
  <c r="H28" i="3"/>
  <c r="G28" i="3"/>
  <c r="J27" i="3"/>
  <c r="H27" i="3"/>
  <c r="G27" i="3"/>
  <c r="J26" i="3"/>
  <c r="H26" i="3"/>
  <c r="G26" i="3"/>
  <c r="J25" i="3"/>
  <c r="H25" i="3"/>
  <c r="G25" i="3"/>
  <c r="J24" i="3"/>
  <c r="H24" i="3"/>
  <c r="G24" i="3"/>
  <c r="J23" i="3"/>
  <c r="H23" i="3"/>
  <c r="G23" i="3"/>
  <c r="J22" i="3"/>
  <c r="H22" i="3"/>
  <c r="G22" i="3"/>
  <c r="J21" i="3"/>
  <c r="H21" i="3"/>
  <c r="G21" i="3"/>
  <c r="J20" i="3"/>
  <c r="H20" i="3"/>
  <c r="G20" i="3"/>
  <c r="J19" i="3"/>
  <c r="H19" i="3"/>
  <c r="G19" i="3"/>
  <c r="J18" i="3"/>
  <c r="H18" i="3"/>
  <c r="G18" i="3"/>
  <c r="J17" i="3"/>
  <c r="H17" i="3"/>
  <c r="G17" i="3"/>
  <c r="J16" i="3"/>
  <c r="H16" i="3"/>
  <c r="G16" i="3"/>
  <c r="J15" i="3"/>
  <c r="H15" i="3"/>
  <c r="G15" i="3"/>
  <c r="J14" i="3"/>
  <c r="H14" i="3"/>
  <c r="G14" i="3"/>
  <c r="J13" i="3"/>
  <c r="H13" i="3"/>
  <c r="G13" i="3"/>
  <c r="J12" i="3"/>
  <c r="H12" i="3"/>
  <c r="G12" i="3"/>
  <c r="J11" i="3"/>
  <c r="H11" i="3"/>
  <c r="G11" i="3"/>
  <c r="J10" i="3"/>
  <c r="H10" i="3"/>
  <c r="G10" i="3"/>
  <c r="J9" i="3"/>
  <c r="H9" i="3"/>
  <c r="G9" i="3"/>
  <c r="J8" i="3"/>
  <c r="H8" i="3"/>
  <c r="G8" i="3"/>
  <c r="J7" i="3"/>
  <c r="H7" i="3"/>
  <c r="G7" i="3"/>
  <c r="J6" i="3"/>
  <c r="H6" i="3"/>
  <c r="G6" i="3"/>
  <c r="A1" i="3"/>
  <c r="A1" i="2"/>
  <c r="B36" i="1"/>
  <c r="B35" i="1"/>
  <c r="B34" i="1"/>
  <c r="B33" i="1"/>
  <c r="B32" i="1"/>
  <c r="B31" i="1"/>
  <c r="B30" i="1"/>
  <c r="C6" i="13" s="1"/>
  <c r="K6" i="13" s="1"/>
  <c r="B29" i="1"/>
  <c r="B28" i="1"/>
  <c r="B27" i="1"/>
  <c r="B26" i="1"/>
  <c r="B25" i="1"/>
  <c r="C21" i="10" s="1"/>
  <c r="K21" i="10" s="1"/>
  <c r="L21" i="10" s="1"/>
  <c r="B24" i="1"/>
  <c r="B23" i="1"/>
  <c r="B22" i="1"/>
  <c r="B21" i="1"/>
  <c r="B20" i="1"/>
  <c r="B19" i="1"/>
  <c r="B18" i="1"/>
  <c r="B17" i="1"/>
  <c r="B16" i="1"/>
  <c r="B15" i="1"/>
  <c r="B14" i="1"/>
  <c r="B13" i="1"/>
  <c r="E48" i="5" l="1"/>
  <c r="L60" i="4"/>
  <c r="L58" i="4"/>
  <c r="F49" i="3"/>
  <c r="C8" i="7"/>
  <c r="I8" i="7" s="1"/>
  <c r="E59" i="5"/>
  <c r="E54" i="5"/>
  <c r="E47" i="5"/>
  <c r="E45" i="5"/>
  <c r="E40" i="5"/>
  <c r="E36" i="5"/>
  <c r="E35" i="5"/>
  <c r="E30" i="5"/>
  <c r="E12" i="5"/>
  <c r="L396" i="4"/>
  <c r="L359" i="4"/>
  <c r="L357" i="4"/>
  <c r="L352" i="4"/>
  <c r="L350" i="4"/>
  <c r="L317" i="4"/>
  <c r="L316" i="4"/>
  <c r="L287" i="4"/>
  <c r="L285" i="4"/>
  <c r="L262" i="4"/>
  <c r="L260" i="4"/>
  <c r="L235" i="4"/>
  <c r="L231" i="4"/>
  <c r="L219" i="4"/>
  <c r="L188" i="4"/>
  <c r="L119" i="4"/>
  <c r="L104" i="4"/>
  <c r="L103" i="4"/>
  <c r="L102" i="4"/>
  <c r="L101" i="4"/>
  <c r="L79" i="4"/>
  <c r="L76" i="4"/>
  <c r="L74" i="4"/>
  <c r="L73" i="4"/>
  <c r="L72" i="4"/>
  <c r="L71" i="4"/>
  <c r="L70" i="4"/>
  <c r="L43" i="4"/>
  <c r="L42" i="4"/>
  <c r="L39" i="4"/>
  <c r="L37" i="4"/>
  <c r="L36" i="4"/>
  <c r="L5" i="4"/>
  <c r="F60" i="3"/>
  <c r="F55" i="3"/>
  <c r="F48" i="3"/>
  <c r="F46" i="3"/>
  <c r="F41" i="3"/>
  <c r="F37" i="3"/>
  <c r="F36" i="3"/>
  <c r="F31" i="3"/>
  <c r="F13" i="3"/>
  <c r="E62" i="5"/>
  <c r="E58" i="5"/>
  <c r="E53" i="5"/>
  <c r="E44" i="5"/>
  <c r="E43" i="5"/>
  <c r="E42" i="5"/>
  <c r="E41" i="5"/>
  <c r="E39" i="5"/>
  <c r="E37" i="5"/>
  <c r="E34" i="5"/>
  <c r="E33" i="5"/>
  <c r="E32" i="5"/>
  <c r="E29" i="5"/>
  <c r="E26" i="5"/>
  <c r="E25" i="5"/>
  <c r="E23" i="5"/>
  <c r="E22" i="5"/>
  <c r="E21" i="5"/>
  <c r="E19" i="5"/>
  <c r="E18" i="5"/>
  <c r="E17" i="5"/>
  <c r="E11" i="5"/>
  <c r="L395" i="4"/>
  <c r="L388" i="4"/>
  <c r="L378" i="4"/>
  <c r="L375" i="4"/>
  <c r="L373" i="4"/>
  <c r="L372" i="4"/>
  <c r="L371" i="4"/>
  <c r="L369" i="4"/>
  <c r="L360" i="4"/>
  <c r="L358" i="4"/>
  <c r="L356" i="4"/>
  <c r="L353" i="4"/>
  <c r="L351" i="4"/>
  <c r="L349" i="4"/>
  <c r="L345" i="4"/>
  <c r="L344" i="4"/>
  <c r="L342" i="4"/>
  <c r="L341" i="4"/>
  <c r="L334" i="4"/>
  <c r="L331" i="4"/>
  <c r="L330" i="4"/>
  <c r="L329" i="4"/>
  <c r="L328" i="4"/>
  <c r="L305" i="4"/>
  <c r="L299" i="4"/>
  <c r="L296" i="4"/>
  <c r="L292" i="4"/>
  <c r="L289" i="4"/>
  <c r="L286" i="4"/>
  <c r="L284" i="4"/>
  <c r="L277" i="4"/>
  <c r="L276" i="4"/>
  <c r="L275" i="4"/>
  <c r="L268" i="4"/>
  <c r="L267" i="4"/>
  <c r="L266" i="4"/>
  <c r="L263" i="4"/>
  <c r="L261" i="4"/>
  <c r="L259" i="4"/>
  <c r="L252" i="4"/>
  <c r="L243" i="4"/>
  <c r="L240" i="4"/>
  <c r="L239" i="4"/>
  <c r="L220" i="4"/>
  <c r="L213" i="4"/>
  <c r="L212" i="4"/>
  <c r="L211" i="4"/>
  <c r="L210" i="4"/>
  <c r="L209" i="4"/>
  <c r="L208" i="4"/>
  <c r="L206" i="4"/>
  <c r="L202" i="4"/>
  <c r="L200" i="4"/>
  <c r="L198" i="4"/>
  <c r="L196" i="4"/>
  <c r="L194" i="4"/>
  <c r="L192" i="4"/>
  <c r="L167" i="4"/>
  <c r="L164" i="4"/>
  <c r="L163" i="4"/>
  <c r="L162" i="4"/>
  <c r="L160" i="4"/>
  <c r="L159" i="4"/>
  <c r="L157" i="4"/>
  <c r="L156" i="4"/>
  <c r="L155" i="4"/>
  <c r="L154" i="4"/>
  <c r="L148" i="4"/>
  <c r="L147" i="4"/>
  <c r="L146" i="4"/>
  <c r="L145" i="4"/>
  <c r="L144" i="4"/>
  <c r="L143" i="4"/>
  <c r="L142" i="4"/>
  <c r="L141" i="4"/>
  <c r="L140" i="4"/>
  <c r="L139" i="4"/>
  <c r="L138" i="4"/>
  <c r="L127" i="4"/>
  <c r="L126" i="4"/>
  <c r="L125" i="4"/>
  <c r="L124" i="4"/>
  <c r="L122" i="4"/>
  <c r="L121" i="4"/>
  <c r="L112" i="4"/>
  <c r="L111" i="4"/>
  <c r="L110" i="4"/>
  <c r="L109" i="4"/>
  <c r="L108" i="4"/>
  <c r="L107" i="4"/>
  <c r="L106" i="4"/>
  <c r="L105" i="4"/>
  <c r="L100" i="4"/>
  <c r="L99" i="4"/>
  <c r="L98" i="4"/>
  <c r="L97" i="4"/>
  <c r="L95" i="4"/>
  <c r="L93" i="4"/>
  <c r="L91" i="4"/>
  <c r="L90" i="4"/>
  <c r="L89" i="4"/>
  <c r="L88" i="4"/>
  <c r="L87" i="4"/>
  <c r="L86" i="4"/>
  <c r="L82" i="4"/>
  <c r="L81" i="4"/>
  <c r="L78" i="4"/>
  <c r="L69" i="4"/>
  <c r="L66" i="4"/>
  <c r="L65" i="4"/>
  <c r="L62" i="4"/>
  <c r="L61" i="4"/>
  <c r="L59" i="4"/>
  <c r="L57" i="4"/>
  <c r="L56" i="4"/>
  <c r="L55" i="4"/>
  <c r="L54" i="4"/>
  <c r="L53" i="4"/>
  <c r="L52" i="4"/>
  <c r="L51" i="4"/>
  <c r="L50" i="4"/>
  <c r="L49" i="4"/>
  <c r="L48" i="4"/>
  <c r="L41" i="4"/>
  <c r="L34" i="4"/>
  <c r="L33" i="4"/>
  <c r="L32" i="4"/>
  <c r="L31" i="4"/>
  <c r="L30" i="4"/>
  <c r="L29" i="4"/>
  <c r="L28" i="4"/>
  <c r="L27" i="4"/>
  <c r="L24" i="4"/>
  <c r="L23" i="4"/>
  <c r="L22" i="4"/>
  <c r="L21" i="4"/>
  <c r="L20" i="4"/>
  <c r="L18" i="4"/>
  <c r="L17" i="4"/>
  <c r="L16" i="4"/>
  <c r="L15" i="4"/>
  <c r="L14" i="4"/>
  <c r="L13" i="4"/>
  <c r="L12" i="4"/>
  <c r="F63" i="3"/>
  <c r="F59" i="3"/>
  <c r="F54" i="3"/>
  <c r="F45" i="3"/>
  <c r="F44" i="3"/>
  <c r="F43" i="3"/>
  <c r="F42" i="3"/>
  <c r="F40" i="3"/>
  <c r="F38" i="3"/>
  <c r="F35" i="3"/>
  <c r="F34" i="3"/>
  <c r="F33" i="3"/>
  <c r="F30" i="3"/>
  <c r="F27" i="3"/>
  <c r="F26" i="3"/>
  <c r="F24" i="3"/>
  <c r="F23" i="3"/>
  <c r="F22" i="3"/>
  <c r="F20" i="3"/>
  <c r="F19" i="3"/>
  <c r="F18" i="3"/>
  <c r="F12" i="3"/>
  <c r="E28" i="5"/>
  <c r="L180" i="4"/>
  <c r="L178" i="4"/>
  <c r="L176" i="4"/>
  <c r="L175" i="4"/>
  <c r="L173" i="4"/>
  <c r="L171" i="4"/>
  <c r="F29" i="3"/>
  <c r="E16" i="5"/>
  <c r="E10" i="5"/>
  <c r="L234" i="4"/>
  <c r="L233" i="4"/>
  <c r="L230" i="4"/>
  <c r="L229" i="4"/>
  <c r="L228" i="4"/>
  <c r="L227" i="4"/>
  <c r="L225" i="4"/>
  <c r="L224" i="4"/>
  <c r="L223" i="4"/>
  <c r="L123" i="4"/>
  <c r="L77" i="4"/>
  <c r="F17" i="3"/>
  <c r="F11" i="3"/>
  <c r="E51" i="5"/>
  <c r="E27" i="5"/>
  <c r="E20" i="5"/>
  <c r="E15" i="5"/>
  <c r="E9" i="5"/>
  <c r="L406" i="4"/>
  <c r="L397" i="4"/>
  <c r="L394" i="4"/>
  <c r="L393" i="4"/>
  <c r="L391" i="4"/>
  <c r="L390" i="4"/>
  <c r="L389" i="4"/>
  <c r="L386" i="4"/>
  <c r="L385" i="4"/>
  <c r="L379" i="4"/>
  <c r="L377" i="4"/>
  <c r="L370" i="4"/>
  <c r="L368" i="4"/>
  <c r="L364" i="4"/>
  <c r="L363" i="4"/>
  <c r="L361" i="4"/>
  <c r="L354" i="4"/>
  <c r="L348" i="4"/>
  <c r="L347" i="4"/>
  <c r="L343" i="4"/>
  <c r="L340" i="4"/>
  <c r="L339" i="4"/>
  <c r="L338" i="4"/>
  <c r="L337" i="4"/>
  <c r="L336" i="4"/>
  <c r="L335" i="4"/>
  <c r="L332" i="4"/>
  <c r="L327" i="4"/>
  <c r="L325" i="4"/>
  <c r="L324" i="4"/>
  <c r="L323" i="4"/>
  <c r="L321" i="4"/>
  <c r="L319" i="4"/>
  <c r="L318" i="4"/>
  <c r="L304" i="4"/>
  <c r="L303" i="4"/>
  <c r="L302" i="4"/>
  <c r="L301" i="4"/>
  <c r="L300" i="4"/>
  <c r="L298" i="4"/>
  <c r="L297" i="4"/>
  <c r="L295" i="4"/>
  <c r="L293" i="4"/>
  <c r="L291" i="4"/>
  <c r="L290" i="4"/>
  <c r="L288" i="4"/>
  <c r="L283" i="4"/>
  <c r="L282" i="4"/>
  <c r="L281" i="4"/>
  <c r="L280" i="4"/>
  <c r="L279" i="4"/>
  <c r="L278" i="4"/>
  <c r="L274" i="4"/>
  <c r="L273" i="4"/>
  <c r="L272" i="4"/>
  <c r="L271" i="4"/>
  <c r="L270" i="4"/>
  <c r="L269" i="4"/>
  <c r="L265" i="4"/>
  <c r="L258" i="4"/>
  <c r="L257" i="4"/>
  <c r="L256" i="4"/>
  <c r="L255" i="4"/>
  <c r="L254" i="4"/>
  <c r="L253" i="4"/>
  <c r="L251" i="4"/>
  <c r="L250" i="4"/>
  <c r="L249" i="4"/>
  <c r="L248" i="4"/>
  <c r="L247" i="4"/>
  <c r="L246" i="4"/>
  <c r="L245" i="4"/>
  <c r="L244" i="4"/>
  <c r="L241" i="4"/>
  <c r="L238" i="4"/>
  <c r="L237" i="4"/>
  <c r="L226" i="4"/>
  <c r="L221" i="4"/>
  <c r="L218" i="4"/>
  <c r="L217" i="4"/>
  <c r="L215" i="4"/>
  <c r="L214" i="4"/>
  <c r="L207" i="4"/>
  <c r="L205" i="4"/>
  <c r="L204" i="4"/>
  <c r="L203" i="4"/>
  <c r="L201" i="4"/>
  <c r="L199" i="4"/>
  <c r="L197" i="4"/>
  <c r="L195" i="4"/>
  <c r="L193" i="4"/>
  <c r="L189" i="4"/>
  <c r="L185" i="4"/>
  <c r="L181" i="4"/>
  <c r="L179" i="4"/>
  <c r="L177" i="4"/>
  <c r="L174" i="4"/>
  <c r="L172" i="4"/>
  <c r="L170" i="4"/>
  <c r="L169" i="4"/>
  <c r="L168" i="4"/>
  <c r="L166" i="4"/>
  <c r="L165" i="4"/>
  <c r="L161" i="4"/>
  <c r="L158" i="4"/>
  <c r="L153" i="4"/>
  <c r="L151" i="4"/>
  <c r="L150" i="4"/>
  <c r="L137" i="4"/>
  <c r="L136" i="4"/>
  <c r="L135" i="4"/>
  <c r="L120" i="4"/>
  <c r="L85" i="4"/>
  <c r="L83" i="4"/>
  <c r="L75" i="4"/>
  <c r="L68" i="4"/>
  <c r="L44" i="4"/>
  <c r="L40" i="4"/>
  <c r="L19" i="4"/>
  <c r="L11" i="4"/>
  <c r="F52" i="3"/>
  <c r="F28" i="3"/>
  <c r="F21" i="3"/>
  <c r="F16" i="3"/>
  <c r="F10" i="3"/>
  <c r="C20" i="10"/>
  <c r="K20" i="10" s="1"/>
  <c r="L20" i="10" s="1"/>
  <c r="C19" i="10"/>
  <c r="K19" i="10" s="1"/>
  <c r="L19" i="10" s="1"/>
  <c r="C18" i="10"/>
  <c r="K18" i="10" s="1"/>
  <c r="L18" i="10" s="1"/>
  <c r="C17" i="10"/>
  <c r="K17" i="10" s="1"/>
  <c r="L17" i="10" s="1"/>
  <c r="C16" i="10"/>
  <c r="K16" i="10" s="1"/>
  <c r="L16" i="10" s="1"/>
  <c r="C15" i="10"/>
  <c r="K15" i="10" s="1"/>
  <c r="L15" i="10" s="1"/>
  <c r="C14" i="10"/>
  <c r="K14" i="10" s="1"/>
  <c r="L14" i="10" s="1"/>
  <c r="C13" i="10"/>
  <c r="K13" i="10" s="1"/>
  <c r="L13" i="10" s="1"/>
  <c r="C12" i="10"/>
  <c r="K12" i="10" s="1"/>
  <c r="L12" i="10" s="1"/>
  <c r="C11" i="10"/>
  <c r="K11" i="10" s="1"/>
  <c r="L11" i="10" s="1"/>
  <c r="C10" i="10"/>
  <c r="K10" i="10" s="1"/>
  <c r="L10" i="10" s="1"/>
  <c r="C9" i="10"/>
  <c r="K9" i="10" s="1"/>
  <c r="L9" i="10" s="1"/>
  <c r="C8" i="10"/>
  <c r="K8" i="10" s="1"/>
  <c r="L8" i="10" s="1"/>
  <c r="C7" i="10"/>
  <c r="K7" i="10" s="1"/>
  <c r="L7" i="10" s="1"/>
  <c r="C6" i="10"/>
  <c r="K6" i="10" s="1"/>
  <c r="C83" i="10"/>
  <c r="K83" i="10" s="1"/>
  <c r="L83" i="10" s="1"/>
  <c r="C80" i="10"/>
  <c r="K80" i="10" s="1"/>
  <c r="L80" i="10" s="1"/>
  <c r="C78" i="10"/>
  <c r="K78" i="10" s="1"/>
  <c r="L78" i="10" s="1"/>
  <c r="C75" i="10"/>
  <c r="K75" i="10" s="1"/>
  <c r="L75" i="10" s="1"/>
  <c r="C73" i="10"/>
  <c r="K73" i="10" s="1"/>
  <c r="L73" i="10" s="1"/>
  <c r="C71" i="10"/>
  <c r="K71" i="10" s="1"/>
  <c r="L71" i="10" s="1"/>
  <c r="C69" i="10"/>
  <c r="K69" i="10" s="1"/>
  <c r="L69" i="10" s="1"/>
  <c r="C67" i="10"/>
  <c r="K67" i="10" s="1"/>
  <c r="L67" i="10" s="1"/>
  <c r="C66" i="10"/>
  <c r="K66" i="10" s="1"/>
  <c r="L66" i="10" s="1"/>
  <c r="C64" i="10"/>
  <c r="K64" i="10" s="1"/>
  <c r="L64" i="10" s="1"/>
  <c r="C63" i="10"/>
  <c r="K63" i="10" s="1"/>
  <c r="L63" i="10" s="1"/>
  <c r="C61" i="10"/>
  <c r="K61" i="10" s="1"/>
  <c r="L61" i="10" s="1"/>
  <c r="C60" i="10"/>
  <c r="K60" i="10" s="1"/>
  <c r="L60" i="10" s="1"/>
  <c r="C58" i="10"/>
  <c r="K58" i="10" s="1"/>
  <c r="L58" i="10" s="1"/>
  <c r="C57" i="10"/>
  <c r="K57" i="10" s="1"/>
  <c r="L57" i="10" s="1"/>
  <c r="C56" i="10"/>
  <c r="K56" i="10" s="1"/>
  <c r="E63" i="5"/>
  <c r="E57" i="5"/>
  <c r="E50" i="5"/>
  <c r="E24" i="5"/>
  <c r="E14" i="5"/>
  <c r="L409" i="4"/>
  <c r="L408" i="4"/>
  <c r="L405" i="4"/>
  <c r="L404" i="4"/>
  <c r="L380" i="4"/>
  <c r="L362" i="4"/>
  <c r="L346" i="4"/>
  <c r="L322" i="4"/>
  <c r="L320" i="4"/>
  <c r="L315" i="4"/>
  <c r="L294" i="4"/>
  <c r="L264" i="4"/>
  <c r="L242" i="4"/>
  <c r="L236" i="4"/>
  <c r="L222" i="4"/>
  <c r="L216" i="4"/>
  <c r="L191" i="4"/>
  <c r="L190" i="4"/>
  <c r="L187" i="4"/>
  <c r="L186" i="4"/>
  <c r="L184" i="4"/>
  <c r="L183" i="4"/>
  <c r="L152" i="4"/>
  <c r="L149" i="4"/>
  <c r="L134" i="4"/>
  <c r="L133" i="4"/>
  <c r="L132" i="4"/>
  <c r="L131" i="4"/>
  <c r="L130" i="4"/>
  <c r="L129" i="4"/>
  <c r="L128" i="4"/>
  <c r="L118" i="4"/>
  <c r="L117" i="4"/>
  <c r="L116" i="4"/>
  <c r="L114" i="4"/>
  <c r="L113" i="4"/>
  <c r="L96" i="4"/>
  <c r="L84" i="4"/>
  <c r="L47" i="4"/>
  <c r="L46" i="4"/>
  <c r="L38" i="4"/>
  <c r="L35" i="4"/>
  <c r="L26" i="4"/>
  <c r="L6" i="4"/>
  <c r="Q6" i="4" s="1"/>
  <c r="T6" i="4" s="1"/>
  <c r="U6" i="4" s="1"/>
  <c r="F64" i="3"/>
  <c r="K64" i="3" s="1"/>
  <c r="F58" i="3"/>
  <c r="F51" i="3"/>
  <c r="F25" i="3"/>
  <c r="F15" i="3"/>
  <c r="E67" i="5"/>
  <c r="E56" i="5"/>
  <c r="E49" i="5"/>
  <c r="E46" i="5"/>
  <c r="E38" i="5"/>
  <c r="E31" i="5"/>
  <c r="E13" i="5"/>
  <c r="E8" i="5"/>
  <c r="L416" i="4"/>
  <c r="L415" i="4"/>
  <c r="L414" i="4"/>
  <c r="L413" i="4"/>
  <c r="L412" i="4"/>
  <c r="L411" i="4"/>
  <c r="L407" i="4"/>
  <c r="L403" i="4"/>
  <c r="Q403" i="4" s="1"/>
  <c r="L402" i="4"/>
  <c r="Q402" i="4" s="1"/>
  <c r="L401" i="4"/>
  <c r="Q401" i="4" s="1"/>
  <c r="L400" i="4"/>
  <c r="Q400" i="4" s="1"/>
  <c r="L399" i="4"/>
  <c r="Q399" i="4" s="1"/>
  <c r="L398" i="4"/>
  <c r="Q398" i="4" s="1"/>
  <c r="L387" i="4"/>
  <c r="L384" i="4"/>
  <c r="L383" i="4"/>
  <c r="L382" i="4"/>
  <c r="L381" i="4"/>
  <c r="L376" i="4"/>
  <c r="L367" i="4"/>
  <c r="L366" i="4"/>
  <c r="L365" i="4"/>
  <c r="L314" i="4"/>
  <c r="L313" i="4"/>
  <c r="L312" i="4"/>
  <c r="L311" i="4"/>
  <c r="L310" i="4"/>
  <c r="L309" i="4"/>
  <c r="L308" i="4"/>
  <c r="L307" i="4"/>
  <c r="L306" i="4"/>
  <c r="L232" i="4"/>
  <c r="L182" i="4"/>
  <c r="L115" i="4"/>
  <c r="L94" i="4"/>
  <c r="L92" i="4"/>
  <c r="L80" i="4"/>
  <c r="L67" i="4"/>
  <c r="L45" i="4"/>
  <c r="L10" i="4"/>
  <c r="Q10" i="4" s="1"/>
  <c r="F68" i="3"/>
  <c r="K68" i="3" s="1"/>
  <c r="F57" i="3"/>
  <c r="F50" i="3"/>
  <c r="F47" i="3"/>
  <c r="F39" i="3"/>
  <c r="F32" i="3"/>
  <c r="F14" i="3"/>
  <c r="F9" i="3"/>
  <c r="C81" i="10"/>
  <c r="K81" i="10" s="1"/>
  <c r="L81" i="10" s="1"/>
  <c r="C79" i="10"/>
  <c r="K79" i="10" s="1"/>
  <c r="L79" i="10" s="1"/>
  <c r="C77" i="10"/>
  <c r="K77" i="10" s="1"/>
  <c r="L77" i="10" s="1"/>
  <c r="C76" i="10"/>
  <c r="K76" i="10" s="1"/>
  <c r="L76" i="10" s="1"/>
  <c r="C74" i="10"/>
  <c r="K74" i="10" s="1"/>
  <c r="L74" i="10" s="1"/>
  <c r="C72" i="10"/>
  <c r="K72" i="10" s="1"/>
  <c r="L72" i="10" s="1"/>
  <c r="C70" i="10"/>
  <c r="K70" i="10" s="1"/>
  <c r="L70" i="10" s="1"/>
  <c r="C68" i="10"/>
  <c r="K68" i="10" s="1"/>
  <c r="L68" i="10" s="1"/>
  <c r="C65" i="10"/>
  <c r="K65" i="10" s="1"/>
  <c r="L65" i="10" s="1"/>
  <c r="C62" i="10"/>
  <c r="K62" i="10" s="1"/>
  <c r="L62" i="10" s="1"/>
  <c r="C59" i="10"/>
  <c r="K59" i="10" s="1"/>
  <c r="L59" i="10" s="1"/>
  <c r="C82" i="10"/>
  <c r="K82" i="10" s="1"/>
  <c r="L82" i="10" s="1"/>
  <c r="E55" i="5"/>
  <c r="L410" i="4"/>
  <c r="F56" i="3"/>
  <c r="L6" i="13"/>
  <c r="C8" i="12"/>
  <c r="K8" i="12" s="1"/>
  <c r="L8" i="12" s="1"/>
  <c r="C7" i="12"/>
  <c r="K7" i="12" s="1"/>
  <c r="L7" i="12" s="1"/>
  <c r="C6" i="12"/>
  <c r="K6" i="12" s="1"/>
  <c r="E5" i="5"/>
  <c r="L333" i="4"/>
  <c r="F6" i="3"/>
  <c r="C52" i="10"/>
  <c r="K52" i="10" s="1"/>
  <c r="L52" i="10" s="1"/>
  <c r="C49" i="10"/>
  <c r="K49" i="10" s="1"/>
  <c r="L49" i="10" s="1"/>
  <c r="C47" i="10"/>
  <c r="K47" i="10" s="1"/>
  <c r="L47" i="10" s="1"/>
  <c r="C44" i="10"/>
  <c r="K44" i="10" s="1"/>
  <c r="L44" i="10" s="1"/>
  <c r="C42" i="10"/>
  <c r="K42" i="10" s="1"/>
  <c r="L42" i="10" s="1"/>
  <c r="C40" i="10"/>
  <c r="K40" i="10" s="1"/>
  <c r="L40" i="10" s="1"/>
  <c r="C38" i="10"/>
  <c r="K38" i="10" s="1"/>
  <c r="L38" i="10" s="1"/>
  <c r="C36" i="10"/>
  <c r="K36" i="10" s="1"/>
  <c r="L36" i="10" s="1"/>
  <c r="C35" i="10"/>
  <c r="K35" i="10" s="1"/>
  <c r="L35" i="10" s="1"/>
  <c r="C33" i="10"/>
  <c r="K33" i="10" s="1"/>
  <c r="L33" i="10" s="1"/>
  <c r="C32" i="10"/>
  <c r="K32" i="10" s="1"/>
  <c r="L32" i="10" s="1"/>
  <c r="C30" i="10"/>
  <c r="K30" i="10" s="1"/>
  <c r="L30" i="10" s="1"/>
  <c r="C29" i="10"/>
  <c r="K29" i="10" s="1"/>
  <c r="L29" i="10" s="1"/>
  <c r="C27" i="10"/>
  <c r="K27" i="10" s="1"/>
  <c r="L27" i="10" s="1"/>
  <c r="C26" i="10"/>
  <c r="K26" i="10" s="1"/>
  <c r="L26" i="10" s="1"/>
  <c r="C25" i="10"/>
  <c r="K25" i="10" s="1"/>
  <c r="E60" i="5"/>
  <c r="E7" i="5"/>
  <c r="L374" i="4"/>
  <c r="L355" i="4"/>
  <c r="F61" i="3"/>
  <c r="F8" i="3"/>
  <c r="C13" i="13"/>
  <c r="K13" i="13" s="1"/>
  <c r="L13" i="13" s="1"/>
  <c r="C12" i="13"/>
  <c r="K12" i="13" s="1"/>
  <c r="L12" i="13" s="1"/>
  <c r="C7" i="13"/>
  <c r="K7" i="13" s="1"/>
  <c r="C11" i="13"/>
  <c r="K11" i="13" s="1"/>
  <c r="L11" i="13" s="1"/>
  <c r="C10" i="13"/>
  <c r="K10" i="13" s="1"/>
  <c r="L10" i="13" s="1"/>
  <c r="C9" i="13"/>
  <c r="K9" i="13" s="1"/>
  <c r="L9" i="13" s="1"/>
  <c r="C8" i="13"/>
  <c r="K8" i="13" s="1"/>
  <c r="L8" i="13" s="1"/>
  <c r="C50" i="10"/>
  <c r="K50" i="10" s="1"/>
  <c r="L50" i="10" s="1"/>
  <c r="C48" i="10"/>
  <c r="K48" i="10" s="1"/>
  <c r="L48" i="10" s="1"/>
  <c r="C46" i="10"/>
  <c r="K46" i="10" s="1"/>
  <c r="L46" i="10" s="1"/>
  <c r="C45" i="10"/>
  <c r="K45" i="10" s="1"/>
  <c r="L45" i="10" s="1"/>
  <c r="C43" i="10"/>
  <c r="K43" i="10" s="1"/>
  <c r="L43" i="10" s="1"/>
  <c r="C41" i="10"/>
  <c r="K41" i="10" s="1"/>
  <c r="L41" i="10" s="1"/>
  <c r="C39" i="10"/>
  <c r="K39" i="10" s="1"/>
  <c r="L39" i="10" s="1"/>
  <c r="C37" i="10"/>
  <c r="K37" i="10" s="1"/>
  <c r="L37" i="10" s="1"/>
  <c r="C34" i="10"/>
  <c r="K34" i="10" s="1"/>
  <c r="L34" i="10" s="1"/>
  <c r="C31" i="10"/>
  <c r="K31" i="10" s="1"/>
  <c r="L31" i="10" s="1"/>
  <c r="C28" i="10"/>
  <c r="K28" i="10" s="1"/>
  <c r="L28" i="10" s="1"/>
  <c r="E64" i="5"/>
  <c r="E61" i="5"/>
  <c r="E6" i="5"/>
  <c r="L64" i="4"/>
  <c r="L63" i="4"/>
  <c r="L25" i="4"/>
  <c r="L7" i="4"/>
  <c r="Q7" i="4" s="1"/>
  <c r="T7" i="4" s="1"/>
  <c r="U7" i="4" s="1"/>
  <c r="F65" i="3"/>
  <c r="K65" i="3" s="1"/>
  <c r="F62" i="3"/>
  <c r="F7" i="3"/>
  <c r="C15" i="13"/>
  <c r="K15" i="13" s="1"/>
  <c r="L15" i="13" s="1"/>
  <c r="C14" i="13"/>
  <c r="K14" i="13" s="1"/>
  <c r="L14" i="13" s="1"/>
  <c r="C51" i="10"/>
  <c r="K51" i="10" s="1"/>
  <c r="L51" i="10" s="1"/>
  <c r="C29" i="9"/>
  <c r="K29" i="9" s="1"/>
  <c r="L29" i="9" s="1"/>
  <c r="C28" i="9"/>
  <c r="K28" i="9" s="1"/>
  <c r="L28" i="9" s="1"/>
  <c r="C27" i="9"/>
  <c r="K27" i="9" s="1"/>
  <c r="L27" i="9" s="1"/>
  <c r="C26" i="9"/>
  <c r="K26" i="9" s="1"/>
  <c r="L26" i="9" s="1"/>
  <c r="C25" i="9"/>
  <c r="K25" i="9" s="1"/>
  <c r="L25" i="9" s="1"/>
  <c r="C24" i="9"/>
  <c r="K24" i="9" s="1"/>
  <c r="L24" i="9" s="1"/>
  <c r="C23" i="9"/>
  <c r="K23" i="9" s="1"/>
  <c r="L23" i="9" s="1"/>
  <c r="C22" i="9"/>
  <c r="K22" i="9" s="1"/>
  <c r="L22" i="9" s="1"/>
  <c r="C21" i="9"/>
  <c r="K21" i="9" s="1"/>
  <c r="L21" i="9" s="1"/>
  <c r="C20" i="9"/>
  <c r="K20" i="9" s="1"/>
  <c r="L20" i="9" s="1"/>
  <c r="C19" i="9"/>
  <c r="K19" i="9" s="1"/>
  <c r="L19" i="9" s="1"/>
  <c r="C18" i="9"/>
  <c r="K18" i="9" s="1"/>
  <c r="L18" i="9" s="1"/>
  <c r="C17" i="9"/>
  <c r="K17" i="9" s="1"/>
  <c r="L17" i="9" s="1"/>
  <c r="C16" i="9"/>
  <c r="K16" i="9" s="1"/>
  <c r="L16" i="9" s="1"/>
  <c r="C15" i="9"/>
  <c r="K15" i="9" s="1"/>
  <c r="L15" i="9" s="1"/>
  <c r="C14" i="9"/>
  <c r="K14" i="9" s="1"/>
  <c r="L14" i="9" s="1"/>
  <c r="C13" i="9"/>
  <c r="K13" i="9" s="1"/>
  <c r="L13" i="9" s="1"/>
  <c r="C12" i="9"/>
  <c r="K12" i="9" s="1"/>
  <c r="L12" i="9" s="1"/>
  <c r="C11" i="9"/>
  <c r="K11" i="9" s="1"/>
  <c r="L11" i="9" s="1"/>
  <c r="C10" i="9"/>
  <c r="K10" i="9" s="1"/>
  <c r="L10" i="9" s="1"/>
  <c r="C9" i="9"/>
  <c r="K9" i="9" s="1"/>
  <c r="L9" i="9" s="1"/>
  <c r="C8" i="9"/>
  <c r="K8" i="9" s="1"/>
  <c r="L8" i="9" s="1"/>
  <c r="C7" i="9"/>
  <c r="K7" i="9" s="1"/>
  <c r="L7" i="9" s="1"/>
  <c r="C6" i="9"/>
  <c r="K6" i="9" s="1"/>
  <c r="E68" i="5"/>
  <c r="E66" i="5"/>
  <c r="E65" i="5"/>
  <c r="E52" i="5"/>
  <c r="L392" i="4"/>
  <c r="Q392" i="4" s="1"/>
  <c r="T392" i="4" s="1"/>
  <c r="U392" i="4" s="1"/>
  <c r="L326" i="4"/>
  <c r="L9" i="4"/>
  <c r="Q9" i="4" s="1"/>
  <c r="T9" i="4" s="1"/>
  <c r="U9" i="4" s="1"/>
  <c r="L8" i="4"/>
  <c r="Q8" i="4" s="1"/>
  <c r="T8" i="4" s="1"/>
  <c r="U8" i="4" s="1"/>
  <c r="F69" i="3"/>
  <c r="K69" i="3" s="1"/>
  <c r="F67" i="3"/>
  <c r="K67" i="3" s="1"/>
  <c r="F66" i="3"/>
  <c r="K66" i="3" s="1"/>
  <c r="F53" i="3"/>
  <c r="G5" i="5"/>
  <c r="M333" i="4"/>
  <c r="K6" i="3"/>
  <c r="H5" i="5"/>
  <c r="N333" i="4"/>
  <c r="I5" i="5"/>
  <c r="P333" i="4"/>
  <c r="L6" i="3"/>
  <c r="G6" i="5"/>
  <c r="M25" i="4"/>
  <c r="K7" i="3"/>
  <c r="M7" i="3" s="1"/>
  <c r="N7" i="3" s="1"/>
  <c r="H6" i="5"/>
  <c r="N25" i="4"/>
  <c r="I6" i="5"/>
  <c r="P25" i="4"/>
  <c r="L7" i="3"/>
  <c r="G7" i="5"/>
  <c r="M374" i="4"/>
  <c r="K8" i="3"/>
  <c r="M8" i="3" s="1"/>
  <c r="N8" i="3" s="1"/>
  <c r="H7" i="5"/>
  <c r="N374" i="4"/>
  <c r="I7" i="5"/>
  <c r="P374" i="4"/>
  <c r="L8" i="3"/>
  <c r="G8" i="5"/>
  <c r="M308" i="4"/>
  <c r="M306" i="4"/>
  <c r="K9" i="3"/>
  <c r="M9" i="3" s="1"/>
  <c r="N9" i="3" s="1"/>
  <c r="H8" i="5"/>
  <c r="N308" i="4"/>
  <c r="N306" i="4"/>
  <c r="I8" i="5"/>
  <c r="P308" i="4"/>
  <c r="P306" i="4"/>
  <c r="L9" i="3"/>
  <c r="G9" i="5"/>
  <c r="M370" i="4"/>
  <c r="M348" i="4"/>
  <c r="M347" i="4"/>
  <c r="M343" i="4"/>
  <c r="M337" i="4"/>
  <c r="M336" i="4"/>
  <c r="M323" i="4"/>
  <c r="M304" i="4"/>
  <c r="M303" i="4"/>
  <c r="M302" i="4"/>
  <c r="M301" i="4"/>
  <c r="M300" i="4"/>
  <c r="M297" i="4"/>
  <c r="M293" i="4"/>
  <c r="M291" i="4"/>
  <c r="M288" i="4"/>
  <c r="M283" i="4"/>
  <c r="M282" i="4"/>
  <c r="M280" i="4"/>
  <c r="M279" i="4"/>
  <c r="M278" i="4"/>
  <c r="M274" i="4"/>
  <c r="M273" i="4"/>
  <c r="M272" i="4"/>
  <c r="M271" i="4"/>
  <c r="M270" i="4"/>
  <c r="M269" i="4"/>
  <c r="M256" i="4"/>
  <c r="M255" i="4"/>
  <c r="M254" i="4"/>
  <c r="M253" i="4"/>
  <c r="M251" i="4"/>
  <c r="M250" i="4"/>
  <c r="M249" i="4"/>
  <c r="M248" i="4"/>
  <c r="M247" i="4"/>
  <c r="M246" i="4"/>
  <c r="M245" i="4"/>
  <c r="M244" i="4"/>
  <c r="M218" i="4"/>
  <c r="M217" i="4"/>
  <c r="M214" i="4"/>
  <c r="M207" i="4"/>
  <c r="M205" i="4"/>
  <c r="M203" i="4"/>
  <c r="M201" i="4"/>
  <c r="M199" i="4"/>
  <c r="M197" i="4"/>
  <c r="M195" i="4"/>
  <c r="M179" i="4"/>
  <c r="M177" i="4"/>
  <c r="M174" i="4"/>
  <c r="M172" i="4"/>
  <c r="M170" i="4"/>
  <c r="M168" i="4"/>
  <c r="M166" i="4"/>
  <c r="M161" i="4"/>
  <c r="M158" i="4"/>
  <c r="M153" i="4"/>
  <c r="M151" i="4"/>
  <c r="M150" i="4"/>
  <c r="M120" i="4"/>
  <c r="M40" i="4"/>
  <c r="M19" i="4"/>
  <c r="M11" i="4"/>
  <c r="K10" i="3"/>
  <c r="M10" i="3" s="1"/>
  <c r="N10" i="3" s="1"/>
  <c r="H9" i="5"/>
  <c r="N370" i="4"/>
  <c r="N348" i="4"/>
  <c r="N347" i="4"/>
  <c r="N343" i="4"/>
  <c r="N337" i="4"/>
  <c r="N336" i="4"/>
  <c r="N323" i="4"/>
  <c r="N304" i="4"/>
  <c r="N303" i="4"/>
  <c r="N302" i="4"/>
  <c r="N301" i="4"/>
  <c r="N300" i="4"/>
  <c r="N297" i="4"/>
  <c r="N293" i="4"/>
  <c r="N291" i="4"/>
  <c r="N288" i="4"/>
  <c r="N283" i="4"/>
  <c r="N282" i="4"/>
  <c r="N280" i="4"/>
  <c r="N279" i="4"/>
  <c r="N278" i="4"/>
  <c r="N274" i="4"/>
  <c r="N273" i="4"/>
  <c r="N272" i="4"/>
  <c r="N271" i="4"/>
  <c r="N270" i="4"/>
  <c r="N269" i="4"/>
  <c r="N256" i="4"/>
  <c r="N255" i="4"/>
  <c r="N254" i="4"/>
  <c r="N253" i="4"/>
  <c r="N251" i="4"/>
  <c r="N250" i="4"/>
  <c r="N249" i="4"/>
  <c r="N248" i="4"/>
  <c r="N247" i="4"/>
  <c r="N246" i="4"/>
  <c r="N245" i="4"/>
  <c r="N244" i="4"/>
  <c r="N218" i="4"/>
  <c r="N217" i="4"/>
  <c r="N214" i="4"/>
  <c r="N207" i="4"/>
  <c r="N205" i="4"/>
  <c r="N203" i="4"/>
  <c r="N201" i="4"/>
  <c r="N199" i="4"/>
  <c r="N197" i="4"/>
  <c r="N195" i="4"/>
  <c r="N179" i="4"/>
  <c r="N177" i="4"/>
  <c r="N174" i="4"/>
  <c r="N172" i="4"/>
  <c r="N170" i="4"/>
  <c r="N168" i="4"/>
  <c r="N166" i="4"/>
  <c r="N161" i="4"/>
  <c r="N158" i="4"/>
  <c r="N153" i="4"/>
  <c r="N151" i="4"/>
  <c r="N150" i="4"/>
  <c r="N120" i="4"/>
  <c r="N40" i="4"/>
  <c r="N19" i="4"/>
  <c r="N11" i="4"/>
  <c r="I9" i="5"/>
  <c r="P370" i="4"/>
  <c r="P348" i="4"/>
  <c r="P347" i="4"/>
  <c r="P343" i="4"/>
  <c r="P337" i="4"/>
  <c r="P336" i="4"/>
  <c r="P323" i="4"/>
  <c r="P304" i="4"/>
  <c r="P303" i="4"/>
  <c r="P302" i="4"/>
  <c r="P301" i="4"/>
  <c r="P300" i="4"/>
  <c r="P297" i="4"/>
  <c r="P293" i="4"/>
  <c r="P291" i="4"/>
  <c r="P288" i="4"/>
  <c r="P283" i="4"/>
  <c r="P282" i="4"/>
  <c r="P280" i="4"/>
  <c r="P279" i="4"/>
  <c r="P278" i="4"/>
  <c r="P274" i="4"/>
  <c r="P273" i="4"/>
  <c r="P272" i="4"/>
  <c r="P271" i="4"/>
  <c r="P270" i="4"/>
  <c r="P269" i="4"/>
  <c r="P256" i="4"/>
  <c r="P255" i="4"/>
  <c r="P254" i="4"/>
  <c r="P253" i="4"/>
  <c r="P251" i="4"/>
  <c r="P250" i="4"/>
  <c r="P249" i="4"/>
  <c r="P248" i="4"/>
  <c r="P247" i="4"/>
  <c r="P246" i="4"/>
  <c r="P245" i="4"/>
  <c r="P244" i="4"/>
  <c r="P218" i="4"/>
  <c r="P217" i="4"/>
  <c r="P214" i="4"/>
  <c r="P207" i="4"/>
  <c r="P205" i="4"/>
  <c r="P203" i="4"/>
  <c r="P201" i="4"/>
  <c r="P199" i="4"/>
  <c r="P197" i="4"/>
  <c r="P195" i="4"/>
  <c r="P179" i="4"/>
  <c r="P177" i="4"/>
  <c r="P174" i="4"/>
  <c r="P172" i="4"/>
  <c r="P170" i="4"/>
  <c r="P168" i="4"/>
  <c r="P166" i="4"/>
  <c r="P161" i="4"/>
  <c r="P158" i="4"/>
  <c r="P153" i="4"/>
  <c r="P151" i="4"/>
  <c r="P150" i="4"/>
  <c r="P120" i="4"/>
  <c r="P40" i="4"/>
  <c r="P19" i="4"/>
  <c r="P11" i="4"/>
  <c r="L10" i="3"/>
  <c r="G10" i="5"/>
  <c r="M234" i="4"/>
  <c r="M233" i="4"/>
  <c r="M230" i="4"/>
  <c r="M229" i="4"/>
  <c r="M228" i="4"/>
  <c r="M227" i="4"/>
  <c r="M225" i="4"/>
  <c r="M224" i="4"/>
  <c r="M223" i="4"/>
  <c r="M123" i="4"/>
  <c r="K11" i="3"/>
  <c r="M11" i="3" s="1"/>
  <c r="N11" i="3" s="1"/>
  <c r="H10" i="5"/>
  <c r="N234" i="4"/>
  <c r="N233" i="4"/>
  <c r="N230" i="4"/>
  <c r="N229" i="4"/>
  <c r="N228" i="4"/>
  <c r="N227" i="4"/>
  <c r="N225" i="4"/>
  <c r="N224" i="4"/>
  <c r="N223" i="4"/>
  <c r="N123" i="4"/>
  <c r="I10" i="5"/>
  <c r="P234" i="4"/>
  <c r="P233" i="4"/>
  <c r="P230" i="4"/>
  <c r="P229" i="4"/>
  <c r="P228" i="4"/>
  <c r="P227" i="4"/>
  <c r="P225" i="4"/>
  <c r="P224" i="4"/>
  <c r="P223" i="4"/>
  <c r="P123" i="4"/>
  <c r="L11" i="3"/>
  <c r="G11" i="5"/>
  <c r="M345" i="4"/>
  <c r="M334" i="4"/>
  <c r="M289" i="4"/>
  <c r="M276" i="4"/>
  <c r="M275" i="4"/>
  <c r="M267" i="4"/>
  <c r="M239" i="4"/>
  <c r="M156" i="4"/>
  <c r="M66" i="4"/>
  <c r="K12" i="3"/>
  <c r="M12" i="3" s="1"/>
  <c r="N12" i="3" s="1"/>
  <c r="H11" i="5"/>
  <c r="N345" i="4"/>
  <c r="N334" i="4"/>
  <c r="N289" i="4"/>
  <c r="N276" i="4"/>
  <c r="N275" i="4"/>
  <c r="N267" i="4"/>
  <c r="N239" i="4"/>
  <c r="N156" i="4"/>
  <c r="N66" i="4"/>
  <c r="I11" i="5"/>
  <c r="P345" i="4"/>
  <c r="P334" i="4"/>
  <c r="P289" i="4"/>
  <c r="P276" i="4"/>
  <c r="P275" i="4"/>
  <c r="P267" i="4"/>
  <c r="P239" i="4"/>
  <c r="P156" i="4"/>
  <c r="P66" i="4"/>
  <c r="L12" i="3"/>
  <c r="G12" i="5"/>
  <c r="M119" i="4"/>
  <c r="K13" i="3"/>
  <c r="M13" i="3" s="1"/>
  <c r="N13" i="3" s="1"/>
  <c r="H12" i="5"/>
  <c r="N119" i="4"/>
  <c r="I12" i="5"/>
  <c r="P119" i="4"/>
  <c r="L13" i="3"/>
  <c r="G13" i="5"/>
  <c r="M384" i="4"/>
  <c r="M311" i="4"/>
  <c r="K14" i="3"/>
  <c r="M14" i="3" s="1"/>
  <c r="N14" i="3" s="1"/>
  <c r="H13" i="5"/>
  <c r="N384" i="4"/>
  <c r="N311" i="4"/>
  <c r="I13" i="5"/>
  <c r="P384" i="4"/>
  <c r="P311" i="4"/>
  <c r="L14" i="3"/>
  <c r="G14" i="5"/>
  <c r="M187" i="4"/>
  <c r="M186" i="4"/>
  <c r="K15" i="3"/>
  <c r="M15" i="3" s="1"/>
  <c r="N15" i="3" s="1"/>
  <c r="H14" i="5"/>
  <c r="N187" i="4"/>
  <c r="N186" i="4"/>
  <c r="I14" i="5"/>
  <c r="P187" i="4"/>
  <c r="P186" i="4"/>
  <c r="L15" i="3"/>
  <c r="G15" i="5"/>
  <c r="M295" i="4"/>
  <c r="M281" i="4"/>
  <c r="K16" i="3"/>
  <c r="M16" i="3" s="1"/>
  <c r="N16" i="3" s="1"/>
  <c r="H15" i="5"/>
  <c r="N295" i="4"/>
  <c r="N281" i="4"/>
  <c r="I15" i="5"/>
  <c r="P295" i="4"/>
  <c r="P281" i="4"/>
  <c r="L16" i="3"/>
  <c r="G16" i="5"/>
  <c r="M77" i="4"/>
  <c r="K17" i="3"/>
  <c r="M17" i="3" s="1"/>
  <c r="N17" i="3" s="1"/>
  <c r="H16" i="5"/>
  <c r="N77" i="4"/>
  <c r="I16" i="5"/>
  <c r="P77" i="4"/>
  <c r="L17" i="3"/>
  <c r="G17" i="5"/>
  <c r="M296" i="4"/>
  <c r="K18" i="3"/>
  <c r="M18" i="3" s="1"/>
  <c r="N18" i="3" s="1"/>
  <c r="H17" i="5"/>
  <c r="N296" i="4"/>
  <c r="I17" i="5"/>
  <c r="P296" i="4"/>
  <c r="L18" i="3"/>
  <c r="G18" i="5"/>
  <c r="M330" i="4"/>
  <c r="M328" i="4"/>
  <c r="K19" i="3"/>
  <c r="M19" i="3" s="1"/>
  <c r="N19" i="3" s="1"/>
  <c r="H18" i="5"/>
  <c r="N330" i="4"/>
  <c r="N328" i="4"/>
  <c r="I18" i="5"/>
  <c r="P330" i="4"/>
  <c r="P328" i="4"/>
  <c r="L19" i="3"/>
  <c r="G19" i="5"/>
  <c r="M329" i="4"/>
  <c r="K20" i="3"/>
  <c r="M20" i="3" s="1"/>
  <c r="N20" i="3" s="1"/>
  <c r="H19" i="5"/>
  <c r="N329" i="4"/>
  <c r="I19" i="5"/>
  <c r="P329" i="4"/>
  <c r="L20" i="3"/>
  <c r="G20" i="5"/>
  <c r="M68" i="4"/>
  <c r="K21" i="3"/>
  <c r="M21" i="3" s="1"/>
  <c r="N21" i="3" s="1"/>
  <c r="H20" i="5"/>
  <c r="N68" i="4"/>
  <c r="I20" i="5"/>
  <c r="P68" i="4"/>
  <c r="L21" i="3"/>
  <c r="G21" i="5"/>
  <c r="M240" i="4"/>
  <c r="M194" i="4"/>
  <c r="M192" i="4"/>
  <c r="M148" i="4"/>
  <c r="M143" i="4"/>
  <c r="M90" i="4"/>
  <c r="M31" i="4"/>
  <c r="M30" i="4"/>
  <c r="K22" i="3"/>
  <c r="M22" i="3" s="1"/>
  <c r="N22" i="3" s="1"/>
  <c r="H21" i="5"/>
  <c r="N240" i="4"/>
  <c r="N194" i="4"/>
  <c r="N192" i="4"/>
  <c r="N148" i="4"/>
  <c r="N143" i="4"/>
  <c r="N90" i="4"/>
  <c r="N31" i="4"/>
  <c r="N30" i="4"/>
  <c r="I21" i="5"/>
  <c r="P240" i="4"/>
  <c r="P194" i="4"/>
  <c r="P192" i="4"/>
  <c r="P148" i="4"/>
  <c r="P143" i="4"/>
  <c r="P90" i="4"/>
  <c r="P31" i="4"/>
  <c r="P30" i="4"/>
  <c r="L22" i="3"/>
  <c r="G22" i="5"/>
  <c r="M124" i="4"/>
  <c r="M50" i="4"/>
  <c r="K23" i="3"/>
  <c r="M23" i="3" s="1"/>
  <c r="N23" i="3" s="1"/>
  <c r="H22" i="5"/>
  <c r="N124" i="4"/>
  <c r="N50" i="4"/>
  <c r="I22" i="5"/>
  <c r="P124" i="4"/>
  <c r="P50" i="4"/>
  <c r="L23" i="3"/>
  <c r="G23" i="5"/>
  <c r="M107" i="4"/>
  <c r="K24" i="3"/>
  <c r="M24" i="3" s="1"/>
  <c r="N24" i="3" s="1"/>
  <c r="H23" i="5"/>
  <c r="N107" i="4"/>
  <c r="I23" i="5"/>
  <c r="P107" i="4"/>
  <c r="L24" i="3"/>
  <c r="G24" i="5"/>
  <c r="M409" i="4"/>
  <c r="M408" i="4"/>
  <c r="M405" i="4"/>
  <c r="M404" i="4"/>
  <c r="M134" i="4"/>
  <c r="M133" i="4"/>
  <c r="M132" i="4"/>
  <c r="M131" i="4"/>
  <c r="M130" i="4"/>
  <c r="M129" i="4"/>
  <c r="M128" i="4"/>
  <c r="K25" i="3"/>
  <c r="M25" i="3" s="1"/>
  <c r="N25" i="3" s="1"/>
  <c r="H24" i="5"/>
  <c r="N409" i="4"/>
  <c r="N408" i="4"/>
  <c r="N405" i="4"/>
  <c r="N404" i="4"/>
  <c r="N134" i="4"/>
  <c r="N133" i="4"/>
  <c r="N132" i="4"/>
  <c r="N131" i="4"/>
  <c r="N130" i="4"/>
  <c r="N129" i="4"/>
  <c r="N128" i="4"/>
  <c r="I24" i="5"/>
  <c r="P409" i="4"/>
  <c r="P408" i="4"/>
  <c r="P405" i="4"/>
  <c r="P404" i="4"/>
  <c r="P134" i="4"/>
  <c r="P133" i="4"/>
  <c r="P132" i="4"/>
  <c r="P131" i="4"/>
  <c r="P130" i="4"/>
  <c r="P129" i="4"/>
  <c r="P128" i="4"/>
  <c r="L25" i="3"/>
  <c r="G25" i="5"/>
  <c r="M208" i="4"/>
  <c r="M138" i="4"/>
  <c r="K26" i="3"/>
  <c r="M26" i="3" s="1"/>
  <c r="N26" i="3" s="1"/>
  <c r="H25" i="5"/>
  <c r="N208" i="4"/>
  <c r="N138" i="4"/>
  <c r="I25" i="5"/>
  <c r="P208" i="4"/>
  <c r="P138" i="4"/>
  <c r="L26" i="3"/>
  <c r="G26" i="5"/>
  <c r="M211" i="4"/>
  <c r="M210" i="4"/>
  <c r="M209" i="4"/>
  <c r="M202" i="4"/>
  <c r="M140" i="4"/>
  <c r="M41" i="4"/>
  <c r="K27" i="3"/>
  <c r="M27" i="3" s="1"/>
  <c r="N27" i="3" s="1"/>
  <c r="H26" i="5"/>
  <c r="N211" i="4"/>
  <c r="N210" i="4"/>
  <c r="N209" i="4"/>
  <c r="N202" i="4"/>
  <c r="N140" i="4"/>
  <c r="N41" i="4"/>
  <c r="I26" i="5"/>
  <c r="P211" i="4"/>
  <c r="P210" i="4"/>
  <c r="P209" i="4"/>
  <c r="P202" i="4"/>
  <c r="P140" i="4"/>
  <c r="P41" i="4"/>
  <c r="L27" i="3"/>
  <c r="G27" i="5"/>
  <c r="M238" i="4"/>
  <c r="M215" i="4"/>
  <c r="M136" i="4"/>
  <c r="M85" i="4"/>
  <c r="M83" i="4"/>
  <c r="M75" i="4"/>
  <c r="M44" i="4"/>
  <c r="K28" i="3"/>
  <c r="M28" i="3" s="1"/>
  <c r="N28" i="3" s="1"/>
  <c r="H27" i="5"/>
  <c r="N238" i="4"/>
  <c r="N215" i="4"/>
  <c r="N136" i="4"/>
  <c r="N85" i="4"/>
  <c r="N83" i="4"/>
  <c r="N75" i="4"/>
  <c r="N44" i="4"/>
  <c r="I27" i="5"/>
  <c r="P238" i="4"/>
  <c r="P215" i="4"/>
  <c r="P136" i="4"/>
  <c r="P85" i="4"/>
  <c r="P83" i="4"/>
  <c r="P75" i="4"/>
  <c r="P44" i="4"/>
  <c r="L28" i="3"/>
  <c r="G28" i="5"/>
  <c r="M180" i="4"/>
  <c r="M178" i="4"/>
  <c r="M176" i="4"/>
  <c r="M175" i="4"/>
  <c r="M173" i="4"/>
  <c r="M171" i="4"/>
  <c r="K29" i="3"/>
  <c r="M29" i="3" s="1"/>
  <c r="N29" i="3" s="1"/>
  <c r="H28" i="5"/>
  <c r="N180" i="4"/>
  <c r="N178" i="4"/>
  <c r="N176" i="4"/>
  <c r="N175" i="4"/>
  <c r="N173" i="4"/>
  <c r="N171" i="4"/>
  <c r="I28" i="5"/>
  <c r="P180" i="4"/>
  <c r="P178" i="4"/>
  <c r="P176" i="4"/>
  <c r="P175" i="4"/>
  <c r="P173" i="4"/>
  <c r="P171" i="4"/>
  <c r="L29" i="3"/>
  <c r="G29" i="5"/>
  <c r="M369" i="4"/>
  <c r="K30" i="3"/>
  <c r="M30" i="3" s="1"/>
  <c r="N30" i="3" s="1"/>
  <c r="H29" i="5"/>
  <c r="N369" i="4"/>
  <c r="I29" i="5"/>
  <c r="P369" i="4"/>
  <c r="L30" i="3"/>
  <c r="G30" i="5"/>
  <c r="M71" i="4"/>
  <c r="K31" i="3"/>
  <c r="M31" i="3" s="1"/>
  <c r="N31" i="3" s="1"/>
  <c r="H30" i="5"/>
  <c r="N71" i="4"/>
  <c r="I30" i="5"/>
  <c r="P71" i="4"/>
  <c r="L31" i="3"/>
  <c r="G31" i="5"/>
  <c r="M313" i="4"/>
  <c r="M312" i="4"/>
  <c r="M310" i="4"/>
  <c r="M309" i="4"/>
  <c r="M307" i="4"/>
  <c r="M80" i="4"/>
  <c r="K32" i="3"/>
  <c r="M32" i="3" s="1"/>
  <c r="N32" i="3" s="1"/>
  <c r="H31" i="5"/>
  <c r="N313" i="4"/>
  <c r="N312" i="4"/>
  <c r="N310" i="4"/>
  <c r="N309" i="4"/>
  <c r="N307" i="4"/>
  <c r="N80" i="4"/>
  <c r="I31" i="5"/>
  <c r="P313" i="4"/>
  <c r="P312" i="4"/>
  <c r="P310" i="4"/>
  <c r="P309" i="4"/>
  <c r="P307" i="4"/>
  <c r="P80" i="4"/>
  <c r="L32" i="3"/>
  <c r="G32" i="5"/>
  <c r="M372" i="4"/>
  <c r="M371" i="4"/>
  <c r="M220" i="4"/>
  <c r="M167" i="4"/>
  <c r="M157" i="4"/>
  <c r="M146" i="4"/>
  <c r="M141" i="4"/>
  <c r="M111" i="4"/>
  <c r="M108" i="4"/>
  <c r="M106" i="4"/>
  <c r="M105" i="4"/>
  <c r="M100" i="4"/>
  <c r="M99" i="4"/>
  <c r="M97" i="4"/>
  <c r="M95" i="4"/>
  <c r="M93" i="4"/>
  <c r="M91" i="4"/>
  <c r="M87" i="4"/>
  <c r="M82" i="4"/>
  <c r="M81" i="4"/>
  <c r="M78" i="4"/>
  <c r="M62" i="4"/>
  <c r="M56" i="4"/>
  <c r="M55" i="4"/>
  <c r="M23" i="4"/>
  <c r="M21" i="4"/>
  <c r="M20" i="4"/>
  <c r="M18" i="4"/>
  <c r="M17" i="4"/>
  <c r="M16" i="4"/>
  <c r="M15" i="4"/>
  <c r="M14" i="4"/>
  <c r="M13" i="4"/>
  <c r="K33" i="3"/>
  <c r="M33" i="3" s="1"/>
  <c r="N33" i="3" s="1"/>
  <c r="H32" i="5"/>
  <c r="N372" i="4"/>
  <c r="N371" i="4"/>
  <c r="N220" i="4"/>
  <c r="N167" i="4"/>
  <c r="N157" i="4"/>
  <c r="N146" i="4"/>
  <c r="N141" i="4"/>
  <c r="N111" i="4"/>
  <c r="N108" i="4"/>
  <c r="N106" i="4"/>
  <c r="N105" i="4"/>
  <c r="N100" i="4"/>
  <c r="N99" i="4"/>
  <c r="N97" i="4"/>
  <c r="N95" i="4"/>
  <c r="N93" i="4"/>
  <c r="N91" i="4"/>
  <c r="N87" i="4"/>
  <c r="N82" i="4"/>
  <c r="N81" i="4"/>
  <c r="N78" i="4"/>
  <c r="N62" i="4"/>
  <c r="N56" i="4"/>
  <c r="N55" i="4"/>
  <c r="N23" i="4"/>
  <c r="N21" i="4"/>
  <c r="N20" i="4"/>
  <c r="N18" i="4"/>
  <c r="N17" i="4"/>
  <c r="N16" i="4"/>
  <c r="N15" i="4"/>
  <c r="N14" i="4"/>
  <c r="N13" i="4"/>
  <c r="I32" i="5"/>
  <c r="P372" i="4"/>
  <c r="P371" i="4"/>
  <c r="P220" i="4"/>
  <c r="P167" i="4"/>
  <c r="P157" i="4"/>
  <c r="P146" i="4"/>
  <c r="P141" i="4"/>
  <c r="P111" i="4"/>
  <c r="P108" i="4"/>
  <c r="P106" i="4"/>
  <c r="P105" i="4"/>
  <c r="P100" i="4"/>
  <c r="P99" i="4"/>
  <c r="P97" i="4"/>
  <c r="P95" i="4"/>
  <c r="P93" i="4"/>
  <c r="P91" i="4"/>
  <c r="P87" i="4"/>
  <c r="P82" i="4"/>
  <c r="P81" i="4"/>
  <c r="P78" i="4"/>
  <c r="P62" i="4"/>
  <c r="P56" i="4"/>
  <c r="P55" i="4"/>
  <c r="P23" i="4"/>
  <c r="P21" i="4"/>
  <c r="P20" i="4"/>
  <c r="P18" i="4"/>
  <c r="P17" i="4"/>
  <c r="P16" i="4"/>
  <c r="P15" i="4"/>
  <c r="P14" i="4"/>
  <c r="P13" i="4"/>
  <c r="L33" i="3"/>
  <c r="G33" i="5"/>
  <c r="M305" i="4"/>
  <c r="K34" i="3"/>
  <c r="M34" i="3" s="1"/>
  <c r="N34" i="3" s="1"/>
  <c r="H33" i="5"/>
  <c r="N305" i="4"/>
  <c r="I33" i="5"/>
  <c r="P305" i="4"/>
  <c r="L34" i="3"/>
  <c r="G34" i="5"/>
  <c r="M292" i="4"/>
  <c r="M277" i="4"/>
  <c r="M268" i="4"/>
  <c r="M243" i="4"/>
  <c r="M155" i="4"/>
  <c r="K35" i="3"/>
  <c r="M35" i="3" s="1"/>
  <c r="N35" i="3" s="1"/>
  <c r="H34" i="5"/>
  <c r="N292" i="4"/>
  <c r="N277" i="4"/>
  <c r="N268" i="4"/>
  <c r="N243" i="4"/>
  <c r="N155" i="4"/>
  <c r="I34" i="5"/>
  <c r="P292" i="4"/>
  <c r="P277" i="4"/>
  <c r="P268" i="4"/>
  <c r="P243" i="4"/>
  <c r="P155" i="4"/>
  <c r="L35" i="3"/>
  <c r="G35" i="5"/>
  <c r="M231" i="4"/>
  <c r="K36" i="3"/>
  <c r="M36" i="3" s="1"/>
  <c r="N36" i="3" s="1"/>
  <c r="H35" i="5"/>
  <c r="N231" i="4"/>
  <c r="I35" i="5"/>
  <c r="P231" i="4"/>
  <c r="L36" i="3"/>
  <c r="G36" i="5"/>
  <c r="M396" i="4"/>
  <c r="K37" i="3"/>
  <c r="M37" i="3" s="1"/>
  <c r="N37" i="3" s="1"/>
  <c r="H36" i="5"/>
  <c r="N396" i="4"/>
  <c r="I36" i="5"/>
  <c r="P396" i="4"/>
  <c r="L37" i="3"/>
  <c r="G37" i="5"/>
  <c r="M378" i="4"/>
  <c r="M375" i="4"/>
  <c r="M353" i="4"/>
  <c r="M344" i="4"/>
  <c r="M342" i="4"/>
  <c r="M341" i="4"/>
  <c r="M331" i="4"/>
  <c r="K38" i="3"/>
  <c r="M38" i="3" s="1"/>
  <c r="N38" i="3" s="1"/>
  <c r="H37" i="5"/>
  <c r="N378" i="4"/>
  <c r="N375" i="4"/>
  <c r="N353" i="4"/>
  <c r="N344" i="4"/>
  <c r="N342" i="4"/>
  <c r="N341" i="4"/>
  <c r="N331" i="4"/>
  <c r="I37" i="5"/>
  <c r="P378" i="4"/>
  <c r="P375" i="4"/>
  <c r="P353" i="4"/>
  <c r="P344" i="4"/>
  <c r="P342" i="4"/>
  <c r="P341" i="4"/>
  <c r="P331" i="4"/>
  <c r="L38" i="3"/>
  <c r="G38" i="5"/>
  <c r="M367" i="4"/>
  <c r="M366" i="4"/>
  <c r="M365" i="4"/>
  <c r="K39" i="3"/>
  <c r="M39" i="3" s="1"/>
  <c r="N39" i="3" s="1"/>
  <c r="H38" i="5"/>
  <c r="N367" i="4"/>
  <c r="N366" i="4"/>
  <c r="N365" i="4"/>
  <c r="I38" i="5"/>
  <c r="P367" i="4"/>
  <c r="P366" i="4"/>
  <c r="P365" i="4"/>
  <c r="L39" i="3"/>
  <c r="G39" i="5"/>
  <c r="M395" i="4"/>
  <c r="M299" i="4"/>
  <c r="M266" i="4"/>
  <c r="M252" i="4"/>
  <c r="M206" i="4"/>
  <c r="K40" i="3"/>
  <c r="M40" i="3" s="1"/>
  <c r="N40" i="3" s="1"/>
  <c r="H39" i="5"/>
  <c r="N395" i="4"/>
  <c r="N299" i="4"/>
  <c r="N266" i="4"/>
  <c r="N252" i="4"/>
  <c r="N206" i="4"/>
  <c r="I39" i="5"/>
  <c r="P395" i="4"/>
  <c r="P299" i="4"/>
  <c r="P266" i="4"/>
  <c r="P252" i="4"/>
  <c r="P206" i="4"/>
  <c r="L40" i="3"/>
  <c r="G40" i="5"/>
  <c r="M317" i="4"/>
  <c r="M316" i="4"/>
  <c r="M235" i="4"/>
  <c r="M188" i="4"/>
  <c r="K41" i="3"/>
  <c r="M41" i="3" s="1"/>
  <c r="N41" i="3" s="1"/>
  <c r="H40" i="5"/>
  <c r="N317" i="4"/>
  <c r="N316" i="4"/>
  <c r="N235" i="4"/>
  <c r="N188" i="4"/>
  <c r="I40" i="5"/>
  <c r="P317" i="4"/>
  <c r="P316" i="4"/>
  <c r="P235" i="4"/>
  <c r="P188" i="4"/>
  <c r="L41" i="3"/>
  <c r="G41" i="5"/>
  <c r="M164" i="4"/>
  <c r="M52" i="4"/>
  <c r="M51" i="4"/>
  <c r="K42" i="3"/>
  <c r="M42" i="3" s="1"/>
  <c r="N42" i="3" s="1"/>
  <c r="H41" i="5"/>
  <c r="N164" i="4"/>
  <c r="N52" i="4"/>
  <c r="N51" i="4"/>
  <c r="I41" i="5"/>
  <c r="P164" i="4"/>
  <c r="P52" i="4"/>
  <c r="P51" i="4"/>
  <c r="L42" i="3"/>
  <c r="G42" i="5"/>
  <c r="M373" i="4"/>
  <c r="M200" i="4"/>
  <c r="M198" i="4"/>
  <c r="M196" i="4"/>
  <c r="M139" i="4"/>
  <c r="M110" i="4"/>
  <c r="K43" i="3"/>
  <c r="M43" i="3" s="1"/>
  <c r="N43" i="3" s="1"/>
  <c r="H42" i="5"/>
  <c r="N373" i="4"/>
  <c r="N200" i="4"/>
  <c r="N198" i="4"/>
  <c r="N196" i="4"/>
  <c r="N139" i="4"/>
  <c r="N110" i="4"/>
  <c r="I42" i="5"/>
  <c r="P373" i="4"/>
  <c r="P200" i="4"/>
  <c r="P198" i="4"/>
  <c r="P196" i="4"/>
  <c r="P139" i="4"/>
  <c r="P110" i="4"/>
  <c r="L43" i="3"/>
  <c r="G43" i="5"/>
  <c r="M112" i="4"/>
  <c r="M109" i="4"/>
  <c r="K44" i="3"/>
  <c r="M44" i="3" s="1"/>
  <c r="N44" i="3" s="1"/>
  <c r="H43" i="5"/>
  <c r="N112" i="4"/>
  <c r="N109" i="4"/>
  <c r="I43" i="5"/>
  <c r="P112" i="4"/>
  <c r="P109" i="4"/>
  <c r="L44" i="3"/>
  <c r="G44" i="5"/>
  <c r="M358" i="4"/>
  <c r="M356" i="4"/>
  <c r="M351" i="4"/>
  <c r="M349" i="4"/>
  <c r="M286" i="4"/>
  <c r="M284" i="4"/>
  <c r="M263" i="4"/>
  <c r="M261" i="4"/>
  <c r="M259" i="4"/>
  <c r="M213" i="4"/>
  <c r="M212" i="4"/>
  <c r="M163" i="4"/>
  <c r="M162" i="4"/>
  <c r="M160" i="4"/>
  <c r="M159" i="4"/>
  <c r="M147" i="4"/>
  <c r="M145" i="4"/>
  <c r="M144" i="4"/>
  <c r="M142" i="4"/>
  <c r="M122" i="4"/>
  <c r="M89" i="4"/>
  <c r="M88" i="4"/>
  <c r="M59" i="4"/>
  <c r="M57" i="4"/>
  <c r="M54" i="4"/>
  <c r="M53" i="4"/>
  <c r="M33" i="4"/>
  <c r="M32" i="4"/>
  <c r="M29" i="4"/>
  <c r="M28" i="4"/>
  <c r="M27" i="4"/>
  <c r="K45" i="3"/>
  <c r="M45" i="3" s="1"/>
  <c r="N45" i="3" s="1"/>
  <c r="H44" i="5"/>
  <c r="N358" i="4"/>
  <c r="N356" i="4"/>
  <c r="N351" i="4"/>
  <c r="N349" i="4"/>
  <c r="N286" i="4"/>
  <c r="N284" i="4"/>
  <c r="N263" i="4"/>
  <c r="N261" i="4"/>
  <c r="N259" i="4"/>
  <c r="N213" i="4"/>
  <c r="N212" i="4"/>
  <c r="N163" i="4"/>
  <c r="N162" i="4"/>
  <c r="N160" i="4"/>
  <c r="N159" i="4"/>
  <c r="N147" i="4"/>
  <c r="N145" i="4"/>
  <c r="N144" i="4"/>
  <c r="N142" i="4"/>
  <c r="N122" i="4"/>
  <c r="N89" i="4"/>
  <c r="N88" i="4"/>
  <c r="N59" i="4"/>
  <c r="N57" i="4"/>
  <c r="N54" i="4"/>
  <c r="N53" i="4"/>
  <c r="N33" i="4"/>
  <c r="N32" i="4"/>
  <c r="N29" i="4"/>
  <c r="N28" i="4"/>
  <c r="N27" i="4"/>
  <c r="I44" i="5"/>
  <c r="P358" i="4"/>
  <c r="P356" i="4"/>
  <c r="P351" i="4"/>
  <c r="P349" i="4"/>
  <c r="P286" i="4"/>
  <c r="P284" i="4"/>
  <c r="P263" i="4"/>
  <c r="P261" i="4"/>
  <c r="P259" i="4"/>
  <c r="P213" i="4"/>
  <c r="P212" i="4"/>
  <c r="P163" i="4"/>
  <c r="P162" i="4"/>
  <c r="P160" i="4"/>
  <c r="P159" i="4"/>
  <c r="P147" i="4"/>
  <c r="P145" i="4"/>
  <c r="P144" i="4"/>
  <c r="P142" i="4"/>
  <c r="P122" i="4"/>
  <c r="P89" i="4"/>
  <c r="P88" i="4"/>
  <c r="P59" i="4"/>
  <c r="P57" i="4"/>
  <c r="P54" i="4"/>
  <c r="P53" i="4"/>
  <c r="P33" i="4"/>
  <c r="P32" i="4"/>
  <c r="P29" i="4"/>
  <c r="P28" i="4"/>
  <c r="P27" i="4"/>
  <c r="L45" i="3"/>
  <c r="G45" i="5"/>
  <c r="M219" i="4"/>
  <c r="M103" i="4"/>
  <c r="M101" i="4"/>
  <c r="M73" i="4"/>
  <c r="M72" i="4"/>
  <c r="M43" i="4"/>
  <c r="M42" i="4"/>
  <c r="M5" i="4"/>
  <c r="K46" i="3"/>
  <c r="M46" i="3" s="1"/>
  <c r="N46" i="3" s="1"/>
  <c r="H45" i="5"/>
  <c r="N219" i="4"/>
  <c r="N103" i="4"/>
  <c r="N101" i="4"/>
  <c r="N73" i="4"/>
  <c r="N72" i="4"/>
  <c r="N43" i="4"/>
  <c r="N42" i="4"/>
  <c r="N5" i="4"/>
  <c r="I45" i="5"/>
  <c r="P219" i="4"/>
  <c r="P103" i="4"/>
  <c r="P101" i="4"/>
  <c r="P73" i="4"/>
  <c r="P72" i="4"/>
  <c r="P43" i="4"/>
  <c r="P42" i="4"/>
  <c r="P5" i="4"/>
  <c r="L46" i="3"/>
  <c r="G46" i="5"/>
  <c r="M92" i="4"/>
  <c r="K47" i="3"/>
  <c r="M47" i="3" s="1"/>
  <c r="N47" i="3" s="1"/>
  <c r="H46" i="5"/>
  <c r="N92" i="4"/>
  <c r="I46" i="5"/>
  <c r="P92" i="4"/>
  <c r="L47" i="3"/>
  <c r="G47" i="5"/>
  <c r="M359" i="4"/>
  <c r="M357" i="4"/>
  <c r="M352" i="4"/>
  <c r="M350" i="4"/>
  <c r="M287" i="4"/>
  <c r="M285" i="4"/>
  <c r="M262" i="4"/>
  <c r="M260" i="4"/>
  <c r="M104" i="4"/>
  <c r="M102" i="4"/>
  <c r="K48" i="3"/>
  <c r="M48" i="3" s="1"/>
  <c r="N48" i="3" s="1"/>
  <c r="H47" i="5"/>
  <c r="N359" i="4"/>
  <c r="N357" i="4"/>
  <c r="N352" i="4"/>
  <c r="N350" i="4"/>
  <c r="N287" i="4"/>
  <c r="N285" i="4"/>
  <c r="N262" i="4"/>
  <c r="N260" i="4"/>
  <c r="N104" i="4"/>
  <c r="N102" i="4"/>
  <c r="I47" i="5"/>
  <c r="P359" i="4"/>
  <c r="P357" i="4"/>
  <c r="P352" i="4"/>
  <c r="P350" i="4"/>
  <c r="P287" i="4"/>
  <c r="P285" i="4"/>
  <c r="P262" i="4"/>
  <c r="P260" i="4"/>
  <c r="P104" i="4"/>
  <c r="P102" i="4"/>
  <c r="L48" i="3"/>
  <c r="G48" i="5"/>
  <c r="M60" i="4"/>
  <c r="M58" i="4"/>
  <c r="K49" i="3"/>
  <c r="M49" i="3" s="1"/>
  <c r="N49" i="3" s="1"/>
  <c r="H48" i="5"/>
  <c r="N60" i="4"/>
  <c r="N58" i="4"/>
  <c r="I48" i="5"/>
  <c r="P60" i="4"/>
  <c r="P58" i="4"/>
  <c r="L49" i="3"/>
  <c r="G49" i="5"/>
  <c r="M416" i="4"/>
  <c r="M415" i="4"/>
  <c r="M414" i="4"/>
  <c r="M413" i="4"/>
  <c r="M412" i="4"/>
  <c r="M411" i="4"/>
  <c r="M407" i="4"/>
  <c r="M387" i="4"/>
  <c r="M376" i="4"/>
  <c r="M314" i="4"/>
  <c r="M232" i="4"/>
  <c r="M182" i="4"/>
  <c r="M115" i="4"/>
  <c r="M45" i="4"/>
  <c r="K50" i="3"/>
  <c r="M50" i="3" s="1"/>
  <c r="N50" i="3" s="1"/>
  <c r="H49" i="5"/>
  <c r="N416" i="4"/>
  <c r="N415" i="4"/>
  <c r="N414" i="4"/>
  <c r="N413" i="4"/>
  <c r="N412" i="4"/>
  <c r="N411" i="4"/>
  <c r="N407" i="4"/>
  <c r="N387" i="4"/>
  <c r="N376" i="4"/>
  <c r="N314" i="4"/>
  <c r="N232" i="4"/>
  <c r="N182" i="4"/>
  <c r="N115" i="4"/>
  <c r="N45" i="4"/>
  <c r="I49" i="5"/>
  <c r="P416" i="4"/>
  <c r="P415" i="4"/>
  <c r="P414" i="4"/>
  <c r="P413" i="4"/>
  <c r="P412" i="4"/>
  <c r="P411" i="4"/>
  <c r="P407" i="4"/>
  <c r="P387" i="4"/>
  <c r="P376" i="4"/>
  <c r="P314" i="4"/>
  <c r="P232" i="4"/>
  <c r="P182" i="4"/>
  <c r="P115" i="4"/>
  <c r="P45" i="4"/>
  <c r="L50" i="3"/>
  <c r="G50" i="5"/>
  <c r="M362" i="4"/>
  <c r="M346" i="4"/>
  <c r="M320" i="4"/>
  <c r="M315" i="4"/>
  <c r="M294" i="4"/>
  <c r="M264" i="4"/>
  <c r="M242" i="4"/>
  <c r="M236" i="4"/>
  <c r="M222" i="4"/>
  <c r="M216" i="4"/>
  <c r="M191" i="4"/>
  <c r="M190" i="4"/>
  <c r="M184" i="4"/>
  <c r="M183" i="4"/>
  <c r="M152" i="4"/>
  <c r="M149" i="4"/>
  <c r="M118" i="4"/>
  <c r="M117" i="4"/>
  <c r="M116" i="4"/>
  <c r="M114" i="4"/>
  <c r="M113" i="4"/>
  <c r="M96" i="4"/>
  <c r="M84" i="4"/>
  <c r="M47" i="4"/>
  <c r="M46" i="4"/>
  <c r="M38" i="4"/>
  <c r="M35" i="4"/>
  <c r="M26" i="4"/>
  <c r="K51" i="3"/>
  <c r="M51" i="3" s="1"/>
  <c r="N51" i="3" s="1"/>
  <c r="H50" i="5"/>
  <c r="N362" i="4"/>
  <c r="N346" i="4"/>
  <c r="N320" i="4"/>
  <c r="N315" i="4"/>
  <c r="N294" i="4"/>
  <c r="N264" i="4"/>
  <c r="N242" i="4"/>
  <c r="N236" i="4"/>
  <c r="N222" i="4"/>
  <c r="N216" i="4"/>
  <c r="N191" i="4"/>
  <c r="N190" i="4"/>
  <c r="N184" i="4"/>
  <c r="N183" i="4"/>
  <c r="N152" i="4"/>
  <c r="N149" i="4"/>
  <c r="N118" i="4"/>
  <c r="N117" i="4"/>
  <c r="N116" i="4"/>
  <c r="N114" i="4"/>
  <c r="N113" i="4"/>
  <c r="N96" i="4"/>
  <c r="N84" i="4"/>
  <c r="N47" i="4"/>
  <c r="N46" i="4"/>
  <c r="N38" i="4"/>
  <c r="N35" i="4"/>
  <c r="N26" i="4"/>
  <c r="I50" i="5"/>
  <c r="P362" i="4"/>
  <c r="P346" i="4"/>
  <c r="P320" i="4"/>
  <c r="P315" i="4"/>
  <c r="P294" i="4"/>
  <c r="P264" i="4"/>
  <c r="P242" i="4"/>
  <c r="P236" i="4"/>
  <c r="P222" i="4"/>
  <c r="P216" i="4"/>
  <c r="P191" i="4"/>
  <c r="P190" i="4"/>
  <c r="P184" i="4"/>
  <c r="P183" i="4"/>
  <c r="P152" i="4"/>
  <c r="P149" i="4"/>
  <c r="P118" i="4"/>
  <c r="P117" i="4"/>
  <c r="P116" i="4"/>
  <c r="P114" i="4"/>
  <c r="P113" i="4"/>
  <c r="P96" i="4"/>
  <c r="P84" i="4"/>
  <c r="P47" i="4"/>
  <c r="P46" i="4"/>
  <c r="P38" i="4"/>
  <c r="P35" i="4"/>
  <c r="P26" i="4"/>
  <c r="L51" i="3"/>
  <c r="G51" i="5"/>
  <c r="M406" i="4"/>
  <c r="M397" i="4"/>
  <c r="M394" i="4"/>
  <c r="M393" i="4"/>
  <c r="M391" i="4"/>
  <c r="M390" i="4"/>
  <c r="M389" i="4"/>
  <c r="M386" i="4"/>
  <c r="M385" i="4"/>
  <c r="M379" i="4"/>
  <c r="M377" i="4"/>
  <c r="M368" i="4"/>
  <c r="M364" i="4"/>
  <c r="M363" i="4"/>
  <c r="M361" i="4"/>
  <c r="M354" i="4"/>
  <c r="M340" i="4"/>
  <c r="M339" i="4"/>
  <c r="M338" i="4"/>
  <c r="M335" i="4"/>
  <c r="M332" i="4"/>
  <c r="M327" i="4"/>
  <c r="M325" i="4"/>
  <c r="M324" i="4"/>
  <c r="M321" i="4"/>
  <c r="M319" i="4"/>
  <c r="M318" i="4"/>
  <c r="M298" i="4"/>
  <c r="M290" i="4"/>
  <c r="M265" i="4"/>
  <c r="M258" i="4"/>
  <c r="M257" i="4"/>
  <c r="M241" i="4"/>
  <c r="M237" i="4"/>
  <c r="M226" i="4"/>
  <c r="M221" i="4"/>
  <c r="M204" i="4"/>
  <c r="M193" i="4"/>
  <c r="M189" i="4"/>
  <c r="M185" i="4"/>
  <c r="M181" i="4"/>
  <c r="M169" i="4"/>
  <c r="M165" i="4"/>
  <c r="M137" i="4"/>
  <c r="M135" i="4"/>
  <c r="K52" i="3"/>
  <c r="M52" i="3" s="1"/>
  <c r="N52" i="3" s="1"/>
  <c r="H51" i="5"/>
  <c r="N406" i="4"/>
  <c r="N397" i="4"/>
  <c r="N394" i="4"/>
  <c r="N393" i="4"/>
  <c r="N391" i="4"/>
  <c r="N390" i="4"/>
  <c r="N389" i="4"/>
  <c r="N386" i="4"/>
  <c r="N385" i="4"/>
  <c r="N379" i="4"/>
  <c r="N377" i="4"/>
  <c r="N368" i="4"/>
  <c r="N364" i="4"/>
  <c r="N363" i="4"/>
  <c r="N361" i="4"/>
  <c r="N354" i="4"/>
  <c r="N340" i="4"/>
  <c r="N339" i="4"/>
  <c r="N338" i="4"/>
  <c r="N335" i="4"/>
  <c r="N332" i="4"/>
  <c r="N327" i="4"/>
  <c r="N325" i="4"/>
  <c r="N324" i="4"/>
  <c r="N321" i="4"/>
  <c r="N319" i="4"/>
  <c r="N318" i="4"/>
  <c r="N298" i="4"/>
  <c r="N290" i="4"/>
  <c r="N265" i="4"/>
  <c r="N258" i="4"/>
  <c r="N257" i="4"/>
  <c r="N241" i="4"/>
  <c r="N237" i="4"/>
  <c r="N226" i="4"/>
  <c r="N221" i="4"/>
  <c r="N204" i="4"/>
  <c r="N193" i="4"/>
  <c r="N189" i="4"/>
  <c r="N185" i="4"/>
  <c r="N181" i="4"/>
  <c r="N169" i="4"/>
  <c r="N165" i="4"/>
  <c r="N137" i="4"/>
  <c r="N135" i="4"/>
  <c r="I51" i="5"/>
  <c r="P406" i="4"/>
  <c r="P397" i="4"/>
  <c r="P394" i="4"/>
  <c r="P393" i="4"/>
  <c r="P391" i="4"/>
  <c r="P390" i="4"/>
  <c r="P389" i="4"/>
  <c r="P386" i="4"/>
  <c r="P385" i="4"/>
  <c r="P379" i="4"/>
  <c r="P377" i="4"/>
  <c r="P368" i="4"/>
  <c r="P364" i="4"/>
  <c r="P363" i="4"/>
  <c r="P361" i="4"/>
  <c r="P354" i="4"/>
  <c r="P340" i="4"/>
  <c r="P339" i="4"/>
  <c r="P338" i="4"/>
  <c r="P335" i="4"/>
  <c r="P332" i="4"/>
  <c r="P327" i="4"/>
  <c r="P325" i="4"/>
  <c r="P324" i="4"/>
  <c r="P321" i="4"/>
  <c r="P319" i="4"/>
  <c r="P318" i="4"/>
  <c r="P298" i="4"/>
  <c r="P290" i="4"/>
  <c r="P265" i="4"/>
  <c r="P258" i="4"/>
  <c r="P257" i="4"/>
  <c r="P241" i="4"/>
  <c r="P237" i="4"/>
  <c r="P226" i="4"/>
  <c r="P221" i="4"/>
  <c r="P204" i="4"/>
  <c r="P193" i="4"/>
  <c r="P189" i="4"/>
  <c r="P185" i="4"/>
  <c r="P181" i="4"/>
  <c r="P169" i="4"/>
  <c r="P165" i="4"/>
  <c r="P137" i="4"/>
  <c r="P135" i="4"/>
  <c r="L52" i="3"/>
  <c r="G52" i="5"/>
  <c r="M326" i="4"/>
  <c r="K53" i="3"/>
  <c r="M53" i="3" s="1"/>
  <c r="N53" i="3" s="1"/>
  <c r="H52" i="5"/>
  <c r="N326" i="4"/>
  <c r="I52" i="5"/>
  <c r="P326" i="4"/>
  <c r="L53" i="3"/>
  <c r="G53" i="5"/>
  <c r="M127" i="4"/>
  <c r="M126" i="4"/>
  <c r="M125" i="4"/>
  <c r="M121" i="4"/>
  <c r="M98" i="4"/>
  <c r="M86" i="4"/>
  <c r="M69" i="4"/>
  <c r="M65" i="4"/>
  <c r="M61" i="4"/>
  <c r="M49" i="4"/>
  <c r="M48" i="4"/>
  <c r="M34" i="4"/>
  <c r="M24" i="4"/>
  <c r="M22" i="4"/>
  <c r="M12" i="4"/>
  <c r="K54" i="3"/>
  <c r="M54" i="3" s="1"/>
  <c r="N54" i="3" s="1"/>
  <c r="H53" i="5"/>
  <c r="N127" i="4"/>
  <c r="N126" i="4"/>
  <c r="N125" i="4"/>
  <c r="N121" i="4"/>
  <c r="N98" i="4"/>
  <c r="N86" i="4"/>
  <c r="N69" i="4"/>
  <c r="N65" i="4"/>
  <c r="N61" i="4"/>
  <c r="N49" i="4"/>
  <c r="N48" i="4"/>
  <c r="N34" i="4"/>
  <c r="N24" i="4"/>
  <c r="N22" i="4"/>
  <c r="N12" i="4"/>
  <c r="I53" i="5"/>
  <c r="P127" i="4"/>
  <c r="P126" i="4"/>
  <c r="P125" i="4"/>
  <c r="P121" i="4"/>
  <c r="P98" i="4"/>
  <c r="P86" i="4"/>
  <c r="P69" i="4"/>
  <c r="P65" i="4"/>
  <c r="P61" i="4"/>
  <c r="P49" i="4"/>
  <c r="P48" i="4"/>
  <c r="P34" i="4"/>
  <c r="P24" i="4"/>
  <c r="P22" i="4"/>
  <c r="P12" i="4"/>
  <c r="L54" i="3"/>
  <c r="G54" i="5"/>
  <c r="M79" i="4"/>
  <c r="M74" i="4"/>
  <c r="M70" i="4"/>
  <c r="M39" i="4"/>
  <c r="M37" i="4"/>
  <c r="M36" i="4"/>
  <c r="K55" i="3"/>
  <c r="M55" i="3" s="1"/>
  <c r="N55" i="3" s="1"/>
  <c r="H54" i="5"/>
  <c r="N79" i="4"/>
  <c r="N74" i="4"/>
  <c r="N70" i="4"/>
  <c r="N39" i="4"/>
  <c r="N37" i="4"/>
  <c r="N36" i="4"/>
  <c r="I54" i="5"/>
  <c r="P79" i="4"/>
  <c r="P74" i="4"/>
  <c r="P70" i="4"/>
  <c r="P39" i="4"/>
  <c r="P37" i="4"/>
  <c r="P36" i="4"/>
  <c r="L55" i="3"/>
  <c r="G55" i="5"/>
  <c r="M410" i="4"/>
  <c r="K56" i="3"/>
  <c r="M56" i="3" s="1"/>
  <c r="N56" i="3" s="1"/>
  <c r="H55" i="5"/>
  <c r="N410" i="4"/>
  <c r="I55" i="5"/>
  <c r="P410" i="4"/>
  <c r="L56" i="3"/>
  <c r="G56" i="5"/>
  <c r="M383" i="4"/>
  <c r="M382" i="4"/>
  <c r="M381" i="4"/>
  <c r="M94" i="4"/>
  <c r="M67" i="4"/>
  <c r="K57" i="3"/>
  <c r="M57" i="3" s="1"/>
  <c r="N57" i="3" s="1"/>
  <c r="H56" i="5"/>
  <c r="N383" i="4"/>
  <c r="N382" i="4"/>
  <c r="N381" i="4"/>
  <c r="N94" i="4"/>
  <c r="N67" i="4"/>
  <c r="I56" i="5"/>
  <c r="P383" i="4"/>
  <c r="P382" i="4"/>
  <c r="P381" i="4"/>
  <c r="P94" i="4"/>
  <c r="P67" i="4"/>
  <c r="L57" i="3"/>
  <c r="G57" i="5"/>
  <c r="M380" i="4"/>
  <c r="M322" i="4"/>
  <c r="K58" i="3"/>
  <c r="M58" i="3" s="1"/>
  <c r="N58" i="3" s="1"/>
  <c r="H57" i="5"/>
  <c r="N380" i="4"/>
  <c r="N322" i="4"/>
  <c r="I57" i="5"/>
  <c r="P380" i="4"/>
  <c r="P322" i="4"/>
  <c r="L58" i="3"/>
  <c r="G58" i="5"/>
  <c r="M360" i="4"/>
  <c r="M154" i="4"/>
  <c r="K59" i="3"/>
  <c r="M59" i="3" s="1"/>
  <c r="N59" i="3" s="1"/>
  <c r="H58" i="5"/>
  <c r="N360" i="4"/>
  <c r="N154" i="4"/>
  <c r="I58" i="5"/>
  <c r="P360" i="4"/>
  <c r="P154" i="4"/>
  <c r="L59" i="3"/>
  <c r="G59" i="5"/>
  <c r="M76" i="4"/>
  <c r="K60" i="3"/>
  <c r="M60" i="3" s="1"/>
  <c r="N60" i="3" s="1"/>
  <c r="H59" i="5"/>
  <c r="N76" i="4"/>
  <c r="I59" i="5"/>
  <c r="P76" i="4"/>
  <c r="L60" i="3"/>
  <c r="G60" i="5"/>
  <c r="M355" i="4"/>
  <c r="K61" i="3"/>
  <c r="M61" i="3" s="1"/>
  <c r="N61" i="3" s="1"/>
  <c r="H60" i="5"/>
  <c r="N355" i="4"/>
  <c r="I60" i="5"/>
  <c r="P355" i="4"/>
  <c r="L61" i="3"/>
  <c r="M62" i="3"/>
  <c r="N62" i="3" s="1"/>
  <c r="L62" i="3"/>
  <c r="M63" i="3"/>
  <c r="N63" i="3" s="1"/>
  <c r="L63" i="3"/>
  <c r="R6" i="4"/>
  <c r="S6" i="4"/>
  <c r="R7" i="4"/>
  <c r="S7" i="4"/>
  <c r="R8" i="4"/>
  <c r="S8" i="4"/>
  <c r="R9" i="4"/>
  <c r="S9" i="4"/>
  <c r="S10" i="4"/>
  <c r="Q63" i="4"/>
  <c r="S63" i="4"/>
  <c r="Q64" i="4"/>
  <c r="S64" i="4"/>
  <c r="Q388" i="4"/>
  <c r="S388" i="4"/>
  <c r="R392" i="4"/>
  <c r="S392" i="4"/>
  <c r="H4" i="8"/>
  <c r="H6" i="8" s="1"/>
  <c r="H15" i="7"/>
  <c r="H18" i="7" s="1"/>
  <c r="D5" i="14" s="1"/>
  <c r="D11" i="14" s="1"/>
  <c r="J13" i="7"/>
  <c r="K8" i="7"/>
  <c r="K13" i="7" s="1"/>
  <c r="K15" i="7" s="1"/>
  <c r="K18" i="7" s="1"/>
  <c r="K20" i="7" s="1"/>
  <c r="I4" i="8" l="1"/>
  <c r="I6" i="8" s="1"/>
  <c r="J15" i="7"/>
  <c r="J18" i="7" s="1"/>
  <c r="T388" i="4"/>
  <c r="U388" i="4" s="1"/>
  <c r="R388" i="4"/>
  <c r="T64" i="4"/>
  <c r="U64" i="4" s="1"/>
  <c r="R64" i="4"/>
  <c r="T63" i="4"/>
  <c r="U63" i="4" s="1"/>
  <c r="R63" i="4"/>
  <c r="Q355" i="4"/>
  <c r="Q76" i="4"/>
  <c r="Q154" i="4"/>
  <c r="Q360" i="4"/>
  <c r="Q322" i="4"/>
  <c r="Q380" i="4"/>
  <c r="Q67" i="4"/>
  <c r="Q94" i="4"/>
  <c r="Q381" i="4"/>
  <c r="Q382" i="4"/>
  <c r="Q383" i="4"/>
  <c r="Q410" i="4"/>
  <c r="Q36" i="4"/>
  <c r="Q37" i="4"/>
  <c r="Q39" i="4"/>
  <c r="Q70" i="4"/>
  <c r="Q74" i="4"/>
  <c r="Q79" i="4"/>
  <c r="Q12" i="4"/>
  <c r="Q22" i="4"/>
  <c r="Q24" i="4"/>
  <c r="Q34" i="4"/>
  <c r="Q48" i="4"/>
  <c r="Q49" i="4"/>
  <c r="Q61" i="4"/>
  <c r="Q65" i="4"/>
  <c r="Q69" i="4"/>
  <c r="Q86" i="4"/>
  <c r="Q98" i="4"/>
  <c r="Q121" i="4"/>
  <c r="Q125" i="4"/>
  <c r="Q126" i="4"/>
  <c r="Q127" i="4"/>
  <c r="Q326" i="4"/>
  <c r="Q135" i="4"/>
  <c r="Q137" i="4"/>
  <c r="Q165" i="4"/>
  <c r="Q169" i="4"/>
  <c r="Q181" i="4"/>
  <c r="Q185" i="4"/>
  <c r="Q189" i="4"/>
  <c r="Q193" i="4"/>
  <c r="Q204" i="4"/>
  <c r="Q221" i="4"/>
  <c r="Q226" i="4"/>
  <c r="Q237" i="4"/>
  <c r="Q241" i="4"/>
  <c r="Q257" i="4"/>
  <c r="Q258" i="4"/>
  <c r="Q265" i="4"/>
  <c r="Q290" i="4"/>
  <c r="Q298" i="4"/>
  <c r="Q318" i="4"/>
  <c r="Q319" i="4"/>
  <c r="Q321" i="4"/>
  <c r="Q324" i="4"/>
  <c r="Q325" i="4"/>
  <c r="Q327" i="4"/>
  <c r="Q332" i="4"/>
  <c r="Q335" i="4"/>
  <c r="Q338" i="4"/>
  <c r="Q339" i="4"/>
  <c r="Q340" i="4"/>
  <c r="Q354" i="4"/>
  <c r="Q361" i="4"/>
  <c r="Q363" i="4"/>
  <c r="Q364" i="4"/>
  <c r="Q368" i="4"/>
  <c r="Q377" i="4"/>
  <c r="Q379" i="4"/>
  <c r="Q385" i="4"/>
  <c r="Q386" i="4"/>
  <c r="Q389" i="4"/>
  <c r="Q390" i="4"/>
  <c r="Q391" i="4"/>
  <c r="Q393" i="4"/>
  <c r="Q394" i="4"/>
  <c r="Q397" i="4"/>
  <c r="Q406" i="4"/>
  <c r="Q26" i="4"/>
  <c r="Q35" i="4"/>
  <c r="Q38" i="4"/>
  <c r="Q46" i="4"/>
  <c r="Q47" i="4"/>
  <c r="Q84" i="4"/>
  <c r="Q96" i="4"/>
  <c r="Q113" i="4"/>
  <c r="Q114" i="4"/>
  <c r="Q116" i="4"/>
  <c r="Q117" i="4"/>
  <c r="Q118" i="4"/>
  <c r="Q149" i="4"/>
  <c r="Q152" i="4"/>
  <c r="Q183" i="4"/>
  <c r="Q184" i="4"/>
  <c r="Q190" i="4"/>
  <c r="Q191" i="4"/>
  <c r="Q216" i="4"/>
  <c r="Q222" i="4"/>
  <c r="Q236" i="4"/>
  <c r="Q242" i="4"/>
  <c r="Q264" i="4"/>
  <c r="Q294" i="4"/>
  <c r="Q315" i="4"/>
  <c r="Q320" i="4"/>
  <c r="Q346" i="4"/>
  <c r="Q362" i="4"/>
  <c r="Q45" i="4"/>
  <c r="Q115" i="4"/>
  <c r="Q182" i="4"/>
  <c r="Q232" i="4"/>
  <c r="Q314" i="4"/>
  <c r="Q376" i="4"/>
  <c r="Q387" i="4"/>
  <c r="Q407" i="4"/>
  <c r="Q411" i="4"/>
  <c r="Q412" i="4"/>
  <c r="Q413" i="4"/>
  <c r="Q414" i="4"/>
  <c r="Q415" i="4"/>
  <c r="Q416" i="4"/>
  <c r="Q58" i="4"/>
  <c r="Q60" i="4"/>
  <c r="Q102" i="4"/>
  <c r="Q104" i="4"/>
  <c r="Q260" i="4"/>
  <c r="Q262" i="4"/>
  <c r="Q285" i="4"/>
  <c r="Q287" i="4"/>
  <c r="Q350" i="4"/>
  <c r="Q352" i="4"/>
  <c r="Q357" i="4"/>
  <c r="Q359" i="4"/>
  <c r="Q92" i="4"/>
  <c r="Q5" i="4"/>
  <c r="Q42" i="4"/>
  <c r="Q43" i="4"/>
  <c r="Q72" i="4"/>
  <c r="Q73" i="4"/>
  <c r="Q101" i="4"/>
  <c r="Q103" i="4"/>
  <c r="Q219" i="4"/>
  <c r="Q27" i="4"/>
  <c r="Q28" i="4"/>
  <c r="Q29" i="4"/>
  <c r="Q32" i="4"/>
  <c r="Q33" i="4"/>
  <c r="Q53" i="4"/>
  <c r="Q54" i="4"/>
  <c r="Q57" i="4"/>
  <c r="Q59" i="4"/>
  <c r="Q88" i="4"/>
  <c r="Q89" i="4"/>
  <c r="Q122" i="4"/>
  <c r="Q142" i="4"/>
  <c r="Q144" i="4"/>
  <c r="Q145" i="4"/>
  <c r="Q147" i="4"/>
  <c r="Q159" i="4"/>
  <c r="Q160" i="4"/>
  <c r="Q162" i="4"/>
  <c r="Q163" i="4"/>
  <c r="Q212" i="4"/>
  <c r="Q213" i="4"/>
  <c r="Q259" i="4"/>
  <c r="Q261" i="4"/>
  <c r="Q263" i="4"/>
  <c r="Q284" i="4"/>
  <c r="Q286" i="4"/>
  <c r="Q349" i="4"/>
  <c r="Q351" i="4"/>
  <c r="Q356" i="4"/>
  <c r="Q358" i="4"/>
  <c r="Q109" i="4"/>
  <c r="Q112" i="4"/>
  <c r="Q110" i="4"/>
  <c r="Q139" i="4"/>
  <c r="Q196" i="4"/>
  <c r="Q198" i="4"/>
  <c r="Q200" i="4"/>
  <c r="Q373" i="4"/>
  <c r="Q51" i="4"/>
  <c r="Q52" i="4"/>
  <c r="Q164" i="4"/>
  <c r="Q188" i="4"/>
  <c r="Q235" i="4"/>
  <c r="Q316" i="4"/>
  <c r="Q317" i="4"/>
  <c r="Q206" i="4"/>
  <c r="Q252" i="4"/>
  <c r="Q266" i="4"/>
  <c r="Q299" i="4"/>
  <c r="Q395" i="4"/>
  <c r="Q365" i="4"/>
  <c r="Q366" i="4"/>
  <c r="Q367" i="4"/>
  <c r="Q331" i="4"/>
  <c r="Q341" i="4"/>
  <c r="Q342" i="4"/>
  <c r="Q344" i="4"/>
  <c r="Q353" i="4"/>
  <c r="Q375" i="4"/>
  <c r="Q378" i="4"/>
  <c r="Q396" i="4"/>
  <c r="Q231" i="4"/>
  <c r="Q155" i="4"/>
  <c r="Q243" i="4"/>
  <c r="Q268" i="4"/>
  <c r="Q277" i="4"/>
  <c r="Q292" i="4"/>
  <c r="Q305" i="4"/>
  <c r="Q13" i="4"/>
  <c r="Q14" i="4"/>
  <c r="Q15" i="4"/>
  <c r="Q16" i="4"/>
  <c r="Q17" i="4"/>
  <c r="Q18" i="4"/>
  <c r="Q20" i="4"/>
  <c r="Q21" i="4"/>
  <c r="Q23" i="4"/>
  <c r="Q55" i="4"/>
  <c r="Q56" i="4"/>
  <c r="Q62" i="4"/>
  <c r="Q78" i="4"/>
  <c r="Q81" i="4"/>
  <c r="Q82" i="4"/>
  <c r="Q87" i="4"/>
  <c r="Q91" i="4"/>
  <c r="Q93" i="4"/>
  <c r="Q95" i="4"/>
  <c r="Q97" i="4"/>
  <c r="Q99" i="4"/>
  <c r="Q100" i="4"/>
  <c r="Q105" i="4"/>
  <c r="Q106" i="4"/>
  <c r="Q108" i="4"/>
  <c r="Q111" i="4"/>
  <c r="Q141" i="4"/>
  <c r="Q146" i="4"/>
  <c r="Q157" i="4"/>
  <c r="Q167" i="4"/>
  <c r="Q220" i="4"/>
  <c r="Q371" i="4"/>
  <c r="Q372" i="4"/>
  <c r="Q80" i="4"/>
  <c r="Q307" i="4"/>
  <c r="Q309" i="4"/>
  <c r="Q310" i="4"/>
  <c r="Q312" i="4"/>
  <c r="Q313" i="4"/>
  <c r="Q71" i="4"/>
  <c r="Q369" i="4"/>
  <c r="Q171" i="4"/>
  <c r="Q173" i="4"/>
  <c r="Q175" i="4"/>
  <c r="Q176" i="4"/>
  <c r="Q178" i="4"/>
  <c r="Q180" i="4"/>
  <c r="Q44" i="4"/>
  <c r="Q75" i="4"/>
  <c r="Q83" i="4"/>
  <c r="Q85" i="4"/>
  <c r="Q136" i="4"/>
  <c r="Q215" i="4"/>
  <c r="Q238" i="4"/>
  <c r="Q41" i="4"/>
  <c r="Q140" i="4"/>
  <c r="Q202" i="4"/>
  <c r="Q209" i="4"/>
  <c r="Q210" i="4"/>
  <c r="Q211" i="4"/>
  <c r="Q138" i="4"/>
  <c r="Q208" i="4"/>
  <c r="Q128" i="4"/>
  <c r="Q129" i="4"/>
  <c r="Q130" i="4"/>
  <c r="Q131" i="4"/>
  <c r="Q132" i="4"/>
  <c r="Q133" i="4"/>
  <c r="Q134" i="4"/>
  <c r="Q404" i="4"/>
  <c r="Q405" i="4"/>
  <c r="Q408" i="4"/>
  <c r="Q409" i="4"/>
  <c r="Q107" i="4"/>
  <c r="Q50" i="4"/>
  <c r="Q124" i="4"/>
  <c r="Q30" i="4"/>
  <c r="Q31" i="4"/>
  <c r="Q90" i="4"/>
  <c r="Q143" i="4"/>
  <c r="Q148" i="4"/>
  <c r="Q192" i="4"/>
  <c r="Q194" i="4"/>
  <c r="Q240" i="4"/>
  <c r="Q68" i="4"/>
  <c r="Q329" i="4"/>
  <c r="Q328" i="4"/>
  <c r="Q330" i="4"/>
  <c r="Q296" i="4"/>
  <c r="Q77" i="4"/>
  <c r="Q281" i="4"/>
  <c r="Q295" i="4"/>
  <c r="Q186" i="4"/>
  <c r="Q187" i="4"/>
  <c r="Q311" i="4"/>
  <c r="Q384" i="4"/>
  <c r="Q119" i="4"/>
  <c r="Q66" i="4"/>
  <c r="Q156" i="4"/>
  <c r="Q239" i="4"/>
  <c r="Q267" i="4"/>
  <c r="Q275" i="4"/>
  <c r="Q276" i="4"/>
  <c r="Q289" i="4"/>
  <c r="Q334" i="4"/>
  <c r="Q345" i="4"/>
  <c r="Q123" i="4"/>
  <c r="Q223" i="4"/>
  <c r="Q224" i="4"/>
  <c r="Q225" i="4"/>
  <c r="Q227" i="4"/>
  <c r="Q228" i="4"/>
  <c r="Q229" i="4"/>
  <c r="Q230" i="4"/>
  <c r="Q233" i="4"/>
  <c r="Q234" i="4"/>
  <c r="Q11" i="4"/>
  <c r="Q19" i="4"/>
  <c r="Q40" i="4"/>
  <c r="Q120" i="4"/>
  <c r="Q150" i="4"/>
  <c r="Q151" i="4"/>
  <c r="Q153" i="4"/>
  <c r="Q158" i="4"/>
  <c r="Q161" i="4"/>
  <c r="Q166" i="4"/>
  <c r="Q168" i="4"/>
  <c r="Q170" i="4"/>
  <c r="Q172" i="4"/>
  <c r="Q174" i="4"/>
  <c r="Q177" i="4"/>
  <c r="Q179" i="4"/>
  <c r="Q195" i="4"/>
  <c r="Q197" i="4"/>
  <c r="Q199" i="4"/>
  <c r="Q201" i="4"/>
  <c r="Q203" i="4"/>
  <c r="Q205" i="4"/>
  <c r="Q207" i="4"/>
  <c r="Q214" i="4"/>
  <c r="Q217" i="4"/>
  <c r="Q218" i="4"/>
  <c r="Q244" i="4"/>
  <c r="Q245" i="4"/>
  <c r="Q246" i="4"/>
  <c r="Q247" i="4"/>
  <c r="Q248" i="4"/>
  <c r="Q249" i="4"/>
  <c r="Q250" i="4"/>
  <c r="Q251" i="4"/>
  <c r="Q253" i="4"/>
  <c r="Q254" i="4"/>
  <c r="Q255" i="4"/>
  <c r="Q256" i="4"/>
  <c r="Q269" i="4"/>
  <c r="Q270" i="4"/>
  <c r="Q271" i="4"/>
  <c r="Q272" i="4"/>
  <c r="Q273" i="4"/>
  <c r="Q274" i="4"/>
  <c r="Q278" i="4"/>
  <c r="Q279" i="4"/>
  <c r="Q280" i="4"/>
  <c r="Q282" i="4"/>
  <c r="Q283" i="4"/>
  <c r="Q288" i="4"/>
  <c r="Q291" i="4"/>
  <c r="Q293" i="4"/>
  <c r="Q297" i="4"/>
  <c r="Q300" i="4"/>
  <c r="Q301" i="4"/>
  <c r="Q302" i="4"/>
  <c r="Q303" i="4"/>
  <c r="Q304" i="4"/>
  <c r="Q323" i="4"/>
  <c r="Q336" i="4"/>
  <c r="Q337" i="4"/>
  <c r="Q343" i="4"/>
  <c r="Q347" i="4"/>
  <c r="Q348" i="4"/>
  <c r="Q370" i="4"/>
  <c r="Q306" i="4"/>
  <c r="Q308" i="4"/>
  <c r="Q374" i="4"/>
  <c r="Q25" i="4"/>
  <c r="K70" i="3"/>
  <c r="M6" i="3"/>
  <c r="Q333" i="4"/>
  <c r="M66" i="3"/>
  <c r="N66" i="3" s="1"/>
  <c r="L66" i="3"/>
  <c r="M67" i="3"/>
  <c r="N67" i="3" s="1"/>
  <c r="L67" i="3"/>
  <c r="M69" i="3"/>
  <c r="N69" i="3" s="1"/>
  <c r="L69" i="3"/>
  <c r="K30" i="9"/>
  <c r="L6" i="9"/>
  <c r="M65" i="3"/>
  <c r="N65" i="3" s="1"/>
  <c r="L65" i="3"/>
  <c r="L7" i="13"/>
  <c r="K16" i="13"/>
  <c r="K53" i="10"/>
  <c r="L53" i="10" s="1"/>
  <c r="L25" i="10"/>
  <c r="K9" i="12"/>
  <c r="L6" i="12"/>
  <c r="M68" i="3"/>
  <c r="N68" i="3" s="1"/>
  <c r="L68" i="3"/>
  <c r="T10" i="4"/>
  <c r="U10" i="4" s="1"/>
  <c r="R10" i="4"/>
  <c r="T398" i="4"/>
  <c r="U398" i="4" s="1"/>
  <c r="S398" i="4"/>
  <c r="R398" i="4"/>
  <c r="T399" i="4"/>
  <c r="U399" i="4" s="1"/>
  <c r="S399" i="4"/>
  <c r="R399" i="4"/>
  <c r="T400" i="4"/>
  <c r="U400" i="4" s="1"/>
  <c r="S400" i="4"/>
  <c r="R400" i="4"/>
  <c r="T401" i="4"/>
  <c r="U401" i="4" s="1"/>
  <c r="S401" i="4"/>
  <c r="R401" i="4"/>
  <c r="T402" i="4"/>
  <c r="U402" i="4" s="1"/>
  <c r="S402" i="4"/>
  <c r="R402" i="4"/>
  <c r="T403" i="4"/>
  <c r="U403" i="4" s="1"/>
  <c r="S403" i="4"/>
  <c r="R403" i="4"/>
  <c r="M64" i="3"/>
  <c r="N64" i="3" s="1"/>
  <c r="L64" i="3"/>
  <c r="L70" i="3" s="1"/>
  <c r="K84" i="10"/>
  <c r="L84" i="10" s="1"/>
  <c r="L56" i="10"/>
  <c r="K22" i="10"/>
  <c r="L6" i="10"/>
  <c r="K86" i="10" l="1"/>
  <c r="L22" i="10"/>
  <c r="K11" i="12"/>
  <c r="L9" i="12"/>
  <c r="K18" i="13"/>
  <c r="L16" i="13"/>
  <c r="K32" i="9"/>
  <c r="L30" i="9"/>
  <c r="T333" i="4"/>
  <c r="U333" i="4" s="1"/>
  <c r="S333" i="4"/>
  <c r="R333" i="4"/>
  <c r="M70" i="3"/>
  <c r="N6" i="3"/>
  <c r="N70" i="3" s="1"/>
  <c r="N75" i="3" s="1"/>
  <c r="T25" i="4"/>
  <c r="U25" i="4" s="1"/>
  <c r="S25" i="4"/>
  <c r="R25" i="4"/>
  <c r="T374" i="4"/>
  <c r="U374" i="4" s="1"/>
  <c r="S374" i="4"/>
  <c r="R374" i="4"/>
  <c r="T308" i="4"/>
  <c r="U308" i="4" s="1"/>
  <c r="S308" i="4"/>
  <c r="R308" i="4"/>
  <c r="T306" i="4"/>
  <c r="U306" i="4" s="1"/>
  <c r="S306" i="4"/>
  <c r="R306" i="4"/>
  <c r="T370" i="4"/>
  <c r="U370" i="4" s="1"/>
  <c r="S370" i="4"/>
  <c r="R370" i="4"/>
  <c r="T348" i="4"/>
  <c r="U348" i="4" s="1"/>
  <c r="S348" i="4"/>
  <c r="R348" i="4"/>
  <c r="T347" i="4"/>
  <c r="U347" i="4" s="1"/>
  <c r="S347" i="4"/>
  <c r="R347" i="4"/>
  <c r="T343" i="4"/>
  <c r="U343" i="4" s="1"/>
  <c r="S343" i="4"/>
  <c r="R343" i="4"/>
  <c r="T337" i="4"/>
  <c r="U337" i="4" s="1"/>
  <c r="S337" i="4"/>
  <c r="R337" i="4"/>
  <c r="T336" i="4"/>
  <c r="U336" i="4" s="1"/>
  <c r="S336" i="4"/>
  <c r="R336" i="4"/>
  <c r="T323" i="4"/>
  <c r="U323" i="4" s="1"/>
  <c r="S323" i="4"/>
  <c r="R323" i="4"/>
  <c r="T304" i="4"/>
  <c r="U304" i="4" s="1"/>
  <c r="S304" i="4"/>
  <c r="R304" i="4"/>
  <c r="T303" i="4"/>
  <c r="U303" i="4" s="1"/>
  <c r="S303" i="4"/>
  <c r="R303" i="4"/>
  <c r="T302" i="4"/>
  <c r="U302" i="4" s="1"/>
  <c r="S302" i="4"/>
  <c r="R302" i="4"/>
  <c r="T301" i="4"/>
  <c r="U301" i="4" s="1"/>
  <c r="S301" i="4"/>
  <c r="R301" i="4"/>
  <c r="T300" i="4"/>
  <c r="U300" i="4" s="1"/>
  <c r="S300" i="4"/>
  <c r="R300" i="4"/>
  <c r="T297" i="4"/>
  <c r="U297" i="4" s="1"/>
  <c r="S297" i="4"/>
  <c r="R297" i="4"/>
  <c r="T293" i="4"/>
  <c r="U293" i="4" s="1"/>
  <c r="S293" i="4"/>
  <c r="R293" i="4"/>
  <c r="T291" i="4"/>
  <c r="U291" i="4" s="1"/>
  <c r="S291" i="4"/>
  <c r="R291" i="4"/>
  <c r="T288" i="4"/>
  <c r="U288" i="4" s="1"/>
  <c r="S288" i="4"/>
  <c r="R288" i="4"/>
  <c r="T283" i="4"/>
  <c r="U283" i="4" s="1"/>
  <c r="S283" i="4"/>
  <c r="R283" i="4"/>
  <c r="T282" i="4"/>
  <c r="U282" i="4" s="1"/>
  <c r="S282" i="4"/>
  <c r="R282" i="4"/>
  <c r="T280" i="4"/>
  <c r="U280" i="4" s="1"/>
  <c r="S280" i="4"/>
  <c r="R280" i="4"/>
  <c r="T279" i="4"/>
  <c r="U279" i="4" s="1"/>
  <c r="S279" i="4"/>
  <c r="R279" i="4"/>
  <c r="T278" i="4"/>
  <c r="U278" i="4" s="1"/>
  <c r="S278" i="4"/>
  <c r="R278" i="4"/>
  <c r="T274" i="4"/>
  <c r="U274" i="4" s="1"/>
  <c r="S274" i="4"/>
  <c r="R274" i="4"/>
  <c r="T273" i="4"/>
  <c r="U273" i="4" s="1"/>
  <c r="S273" i="4"/>
  <c r="R273" i="4"/>
  <c r="T272" i="4"/>
  <c r="U272" i="4" s="1"/>
  <c r="S272" i="4"/>
  <c r="R272" i="4"/>
  <c r="T271" i="4"/>
  <c r="U271" i="4" s="1"/>
  <c r="S271" i="4"/>
  <c r="R271" i="4"/>
  <c r="T270" i="4"/>
  <c r="U270" i="4" s="1"/>
  <c r="S270" i="4"/>
  <c r="R270" i="4"/>
  <c r="T269" i="4"/>
  <c r="U269" i="4" s="1"/>
  <c r="S269" i="4"/>
  <c r="R269" i="4"/>
  <c r="T256" i="4"/>
  <c r="U256" i="4" s="1"/>
  <c r="S256" i="4"/>
  <c r="R256" i="4"/>
  <c r="T255" i="4"/>
  <c r="U255" i="4" s="1"/>
  <c r="S255" i="4"/>
  <c r="R255" i="4"/>
  <c r="T254" i="4"/>
  <c r="U254" i="4" s="1"/>
  <c r="S254" i="4"/>
  <c r="R254" i="4"/>
  <c r="T253" i="4"/>
  <c r="U253" i="4" s="1"/>
  <c r="S253" i="4"/>
  <c r="R253" i="4"/>
  <c r="T251" i="4"/>
  <c r="U251" i="4" s="1"/>
  <c r="S251" i="4"/>
  <c r="R251" i="4"/>
  <c r="T250" i="4"/>
  <c r="U250" i="4" s="1"/>
  <c r="S250" i="4"/>
  <c r="R250" i="4"/>
  <c r="T249" i="4"/>
  <c r="U249" i="4" s="1"/>
  <c r="S249" i="4"/>
  <c r="R249" i="4"/>
  <c r="T248" i="4"/>
  <c r="U248" i="4" s="1"/>
  <c r="S248" i="4"/>
  <c r="R248" i="4"/>
  <c r="T247" i="4"/>
  <c r="U247" i="4" s="1"/>
  <c r="S247" i="4"/>
  <c r="R247" i="4"/>
  <c r="T246" i="4"/>
  <c r="U246" i="4" s="1"/>
  <c r="S246" i="4"/>
  <c r="R246" i="4"/>
  <c r="T245" i="4"/>
  <c r="U245" i="4" s="1"/>
  <c r="S245" i="4"/>
  <c r="R245" i="4"/>
  <c r="T244" i="4"/>
  <c r="U244" i="4" s="1"/>
  <c r="S244" i="4"/>
  <c r="R244" i="4"/>
  <c r="T218" i="4"/>
  <c r="U218" i="4" s="1"/>
  <c r="S218" i="4"/>
  <c r="R218" i="4"/>
  <c r="T217" i="4"/>
  <c r="U217" i="4" s="1"/>
  <c r="S217" i="4"/>
  <c r="R217" i="4"/>
  <c r="T214" i="4"/>
  <c r="U214" i="4" s="1"/>
  <c r="S214" i="4"/>
  <c r="R214" i="4"/>
  <c r="T207" i="4"/>
  <c r="U207" i="4" s="1"/>
  <c r="S207" i="4"/>
  <c r="R207" i="4"/>
  <c r="T205" i="4"/>
  <c r="U205" i="4" s="1"/>
  <c r="S205" i="4"/>
  <c r="R205" i="4"/>
  <c r="T203" i="4"/>
  <c r="U203" i="4" s="1"/>
  <c r="S203" i="4"/>
  <c r="R203" i="4"/>
  <c r="T201" i="4"/>
  <c r="U201" i="4" s="1"/>
  <c r="S201" i="4"/>
  <c r="R201" i="4"/>
  <c r="T199" i="4"/>
  <c r="U199" i="4" s="1"/>
  <c r="S199" i="4"/>
  <c r="R199" i="4"/>
  <c r="T197" i="4"/>
  <c r="U197" i="4" s="1"/>
  <c r="S197" i="4"/>
  <c r="R197" i="4"/>
  <c r="T195" i="4"/>
  <c r="U195" i="4" s="1"/>
  <c r="S195" i="4"/>
  <c r="R195" i="4"/>
  <c r="T179" i="4"/>
  <c r="U179" i="4" s="1"/>
  <c r="S179" i="4"/>
  <c r="R179" i="4"/>
  <c r="T177" i="4"/>
  <c r="U177" i="4" s="1"/>
  <c r="S177" i="4"/>
  <c r="R177" i="4"/>
  <c r="T174" i="4"/>
  <c r="U174" i="4" s="1"/>
  <c r="S174" i="4"/>
  <c r="R174" i="4"/>
  <c r="T172" i="4"/>
  <c r="U172" i="4" s="1"/>
  <c r="S172" i="4"/>
  <c r="R172" i="4"/>
  <c r="T170" i="4"/>
  <c r="U170" i="4" s="1"/>
  <c r="S170" i="4"/>
  <c r="R170" i="4"/>
  <c r="T168" i="4"/>
  <c r="U168" i="4" s="1"/>
  <c r="S168" i="4"/>
  <c r="R168" i="4"/>
  <c r="T166" i="4"/>
  <c r="U166" i="4" s="1"/>
  <c r="S166" i="4"/>
  <c r="R166" i="4"/>
  <c r="T161" i="4"/>
  <c r="U161" i="4" s="1"/>
  <c r="S161" i="4"/>
  <c r="R161" i="4"/>
  <c r="T158" i="4"/>
  <c r="U158" i="4" s="1"/>
  <c r="S158" i="4"/>
  <c r="R158" i="4"/>
  <c r="T153" i="4"/>
  <c r="U153" i="4" s="1"/>
  <c r="S153" i="4"/>
  <c r="R153" i="4"/>
  <c r="T151" i="4"/>
  <c r="U151" i="4" s="1"/>
  <c r="S151" i="4"/>
  <c r="R151" i="4"/>
  <c r="T150" i="4"/>
  <c r="U150" i="4" s="1"/>
  <c r="S150" i="4"/>
  <c r="R150" i="4"/>
  <c r="T120" i="4"/>
  <c r="U120" i="4" s="1"/>
  <c r="S120" i="4"/>
  <c r="R120" i="4"/>
  <c r="T40" i="4"/>
  <c r="U40" i="4" s="1"/>
  <c r="S40" i="4"/>
  <c r="R40" i="4"/>
  <c r="T19" i="4"/>
  <c r="U19" i="4" s="1"/>
  <c r="S19" i="4"/>
  <c r="R19" i="4"/>
  <c r="T11" i="4"/>
  <c r="U11" i="4" s="1"/>
  <c r="S11" i="4"/>
  <c r="R11" i="4"/>
  <c r="T234" i="4"/>
  <c r="U234" i="4" s="1"/>
  <c r="S234" i="4"/>
  <c r="R234" i="4"/>
  <c r="T233" i="4"/>
  <c r="U233" i="4" s="1"/>
  <c r="S233" i="4"/>
  <c r="R233" i="4"/>
  <c r="T230" i="4"/>
  <c r="U230" i="4" s="1"/>
  <c r="S230" i="4"/>
  <c r="R230" i="4"/>
  <c r="T229" i="4"/>
  <c r="U229" i="4" s="1"/>
  <c r="S229" i="4"/>
  <c r="R229" i="4"/>
  <c r="T228" i="4"/>
  <c r="U228" i="4" s="1"/>
  <c r="S228" i="4"/>
  <c r="R228" i="4"/>
  <c r="T227" i="4"/>
  <c r="U227" i="4" s="1"/>
  <c r="S227" i="4"/>
  <c r="R227" i="4"/>
  <c r="T225" i="4"/>
  <c r="U225" i="4" s="1"/>
  <c r="S225" i="4"/>
  <c r="R225" i="4"/>
  <c r="T224" i="4"/>
  <c r="U224" i="4" s="1"/>
  <c r="S224" i="4"/>
  <c r="R224" i="4"/>
  <c r="T223" i="4"/>
  <c r="U223" i="4" s="1"/>
  <c r="S223" i="4"/>
  <c r="R223" i="4"/>
  <c r="T123" i="4"/>
  <c r="U123" i="4" s="1"/>
  <c r="S123" i="4"/>
  <c r="R123" i="4"/>
  <c r="T345" i="4"/>
  <c r="U345" i="4" s="1"/>
  <c r="S345" i="4"/>
  <c r="R345" i="4"/>
  <c r="T334" i="4"/>
  <c r="U334" i="4" s="1"/>
  <c r="S334" i="4"/>
  <c r="R334" i="4"/>
  <c r="T289" i="4"/>
  <c r="U289" i="4" s="1"/>
  <c r="S289" i="4"/>
  <c r="R289" i="4"/>
  <c r="T276" i="4"/>
  <c r="U276" i="4" s="1"/>
  <c r="S276" i="4"/>
  <c r="R276" i="4"/>
  <c r="T275" i="4"/>
  <c r="U275" i="4" s="1"/>
  <c r="S275" i="4"/>
  <c r="R275" i="4"/>
  <c r="T267" i="4"/>
  <c r="U267" i="4" s="1"/>
  <c r="S267" i="4"/>
  <c r="R267" i="4"/>
  <c r="T239" i="4"/>
  <c r="U239" i="4" s="1"/>
  <c r="S239" i="4"/>
  <c r="R239" i="4"/>
  <c r="T156" i="4"/>
  <c r="U156" i="4" s="1"/>
  <c r="S156" i="4"/>
  <c r="R156" i="4"/>
  <c r="T66" i="4"/>
  <c r="U66" i="4" s="1"/>
  <c r="S66" i="4"/>
  <c r="R66" i="4"/>
  <c r="T119" i="4"/>
  <c r="U119" i="4" s="1"/>
  <c r="S119" i="4"/>
  <c r="R119" i="4"/>
  <c r="T384" i="4"/>
  <c r="U384" i="4" s="1"/>
  <c r="S384" i="4"/>
  <c r="R384" i="4"/>
  <c r="T311" i="4"/>
  <c r="U311" i="4" s="1"/>
  <c r="S311" i="4"/>
  <c r="R311" i="4"/>
  <c r="T187" i="4"/>
  <c r="U187" i="4" s="1"/>
  <c r="S187" i="4"/>
  <c r="R187" i="4"/>
  <c r="T186" i="4"/>
  <c r="U186" i="4" s="1"/>
  <c r="S186" i="4"/>
  <c r="R186" i="4"/>
  <c r="T295" i="4"/>
  <c r="U295" i="4" s="1"/>
  <c r="S295" i="4"/>
  <c r="R295" i="4"/>
  <c r="T281" i="4"/>
  <c r="U281" i="4" s="1"/>
  <c r="S281" i="4"/>
  <c r="R281" i="4"/>
  <c r="T77" i="4"/>
  <c r="U77" i="4" s="1"/>
  <c r="S77" i="4"/>
  <c r="R77" i="4"/>
  <c r="T296" i="4"/>
  <c r="U296" i="4" s="1"/>
  <c r="S296" i="4"/>
  <c r="R296" i="4"/>
  <c r="T330" i="4"/>
  <c r="U330" i="4" s="1"/>
  <c r="S330" i="4"/>
  <c r="R330" i="4"/>
  <c r="T328" i="4"/>
  <c r="U328" i="4" s="1"/>
  <c r="S328" i="4"/>
  <c r="R328" i="4"/>
  <c r="T329" i="4"/>
  <c r="U329" i="4" s="1"/>
  <c r="S329" i="4"/>
  <c r="R329" i="4"/>
  <c r="T68" i="4"/>
  <c r="U68" i="4" s="1"/>
  <c r="S68" i="4"/>
  <c r="R68" i="4"/>
  <c r="T240" i="4"/>
  <c r="U240" i="4" s="1"/>
  <c r="S240" i="4"/>
  <c r="R240" i="4"/>
  <c r="T194" i="4"/>
  <c r="U194" i="4" s="1"/>
  <c r="S194" i="4"/>
  <c r="R194" i="4"/>
  <c r="T192" i="4"/>
  <c r="U192" i="4" s="1"/>
  <c r="S192" i="4"/>
  <c r="R192" i="4"/>
  <c r="T148" i="4"/>
  <c r="U148" i="4" s="1"/>
  <c r="S148" i="4"/>
  <c r="R148" i="4"/>
  <c r="T143" i="4"/>
  <c r="U143" i="4" s="1"/>
  <c r="S143" i="4"/>
  <c r="R143" i="4"/>
  <c r="T90" i="4"/>
  <c r="U90" i="4" s="1"/>
  <c r="S90" i="4"/>
  <c r="R90" i="4"/>
  <c r="T31" i="4"/>
  <c r="U31" i="4" s="1"/>
  <c r="S31" i="4"/>
  <c r="R31" i="4"/>
  <c r="T30" i="4"/>
  <c r="U30" i="4" s="1"/>
  <c r="S30" i="4"/>
  <c r="R30" i="4"/>
  <c r="T124" i="4"/>
  <c r="U124" i="4" s="1"/>
  <c r="S124" i="4"/>
  <c r="R124" i="4"/>
  <c r="T50" i="4"/>
  <c r="U50" i="4" s="1"/>
  <c r="S50" i="4"/>
  <c r="R50" i="4"/>
  <c r="T107" i="4"/>
  <c r="U107" i="4" s="1"/>
  <c r="S107" i="4"/>
  <c r="R107" i="4"/>
  <c r="T409" i="4"/>
  <c r="U409" i="4" s="1"/>
  <c r="S409" i="4"/>
  <c r="R409" i="4"/>
  <c r="T408" i="4"/>
  <c r="U408" i="4" s="1"/>
  <c r="S408" i="4"/>
  <c r="R408" i="4"/>
  <c r="T405" i="4"/>
  <c r="U405" i="4" s="1"/>
  <c r="S405" i="4"/>
  <c r="R405" i="4"/>
  <c r="T404" i="4"/>
  <c r="U404" i="4" s="1"/>
  <c r="S404" i="4"/>
  <c r="R404" i="4"/>
  <c r="T134" i="4"/>
  <c r="U134" i="4" s="1"/>
  <c r="S134" i="4"/>
  <c r="R134" i="4"/>
  <c r="T133" i="4"/>
  <c r="U133" i="4" s="1"/>
  <c r="S133" i="4"/>
  <c r="R133" i="4"/>
  <c r="T132" i="4"/>
  <c r="U132" i="4" s="1"/>
  <c r="S132" i="4"/>
  <c r="R132" i="4"/>
  <c r="T131" i="4"/>
  <c r="U131" i="4" s="1"/>
  <c r="S131" i="4"/>
  <c r="R131" i="4"/>
  <c r="T130" i="4"/>
  <c r="U130" i="4" s="1"/>
  <c r="S130" i="4"/>
  <c r="R130" i="4"/>
  <c r="T129" i="4"/>
  <c r="U129" i="4" s="1"/>
  <c r="S129" i="4"/>
  <c r="R129" i="4"/>
  <c r="T128" i="4"/>
  <c r="U128" i="4" s="1"/>
  <c r="S128" i="4"/>
  <c r="R128" i="4"/>
  <c r="T208" i="4"/>
  <c r="U208" i="4" s="1"/>
  <c r="S208" i="4"/>
  <c r="R208" i="4"/>
  <c r="T138" i="4"/>
  <c r="U138" i="4" s="1"/>
  <c r="S138" i="4"/>
  <c r="R138" i="4"/>
  <c r="T211" i="4"/>
  <c r="U211" i="4" s="1"/>
  <c r="S211" i="4"/>
  <c r="R211" i="4"/>
  <c r="T210" i="4"/>
  <c r="U210" i="4" s="1"/>
  <c r="S210" i="4"/>
  <c r="R210" i="4"/>
  <c r="T209" i="4"/>
  <c r="U209" i="4" s="1"/>
  <c r="S209" i="4"/>
  <c r="R209" i="4"/>
  <c r="T202" i="4"/>
  <c r="U202" i="4" s="1"/>
  <c r="S202" i="4"/>
  <c r="R202" i="4"/>
  <c r="T140" i="4"/>
  <c r="U140" i="4" s="1"/>
  <c r="S140" i="4"/>
  <c r="R140" i="4"/>
  <c r="T41" i="4"/>
  <c r="U41" i="4" s="1"/>
  <c r="S41" i="4"/>
  <c r="R41" i="4"/>
  <c r="T238" i="4"/>
  <c r="U238" i="4" s="1"/>
  <c r="S238" i="4"/>
  <c r="R238" i="4"/>
  <c r="T215" i="4"/>
  <c r="U215" i="4" s="1"/>
  <c r="S215" i="4"/>
  <c r="R215" i="4"/>
  <c r="T136" i="4"/>
  <c r="U136" i="4" s="1"/>
  <c r="S136" i="4"/>
  <c r="R136" i="4"/>
  <c r="T85" i="4"/>
  <c r="U85" i="4" s="1"/>
  <c r="S85" i="4"/>
  <c r="R85" i="4"/>
  <c r="T83" i="4"/>
  <c r="U83" i="4" s="1"/>
  <c r="S83" i="4"/>
  <c r="R83" i="4"/>
  <c r="T75" i="4"/>
  <c r="U75" i="4" s="1"/>
  <c r="S75" i="4"/>
  <c r="R75" i="4"/>
  <c r="T44" i="4"/>
  <c r="U44" i="4" s="1"/>
  <c r="S44" i="4"/>
  <c r="R44" i="4"/>
  <c r="T180" i="4"/>
  <c r="U180" i="4" s="1"/>
  <c r="S180" i="4"/>
  <c r="R180" i="4"/>
  <c r="T178" i="4"/>
  <c r="U178" i="4" s="1"/>
  <c r="S178" i="4"/>
  <c r="R178" i="4"/>
  <c r="T176" i="4"/>
  <c r="U176" i="4" s="1"/>
  <c r="S176" i="4"/>
  <c r="R176" i="4"/>
  <c r="T175" i="4"/>
  <c r="U175" i="4" s="1"/>
  <c r="S175" i="4"/>
  <c r="R175" i="4"/>
  <c r="T173" i="4"/>
  <c r="U173" i="4" s="1"/>
  <c r="S173" i="4"/>
  <c r="R173" i="4"/>
  <c r="T171" i="4"/>
  <c r="U171" i="4" s="1"/>
  <c r="S171" i="4"/>
  <c r="R171" i="4"/>
  <c r="T369" i="4"/>
  <c r="U369" i="4" s="1"/>
  <c r="S369" i="4"/>
  <c r="R369" i="4"/>
  <c r="T71" i="4"/>
  <c r="U71" i="4" s="1"/>
  <c r="S71" i="4"/>
  <c r="R71" i="4"/>
  <c r="T313" i="4"/>
  <c r="U313" i="4" s="1"/>
  <c r="S313" i="4"/>
  <c r="R313" i="4"/>
  <c r="T312" i="4"/>
  <c r="U312" i="4" s="1"/>
  <c r="S312" i="4"/>
  <c r="R312" i="4"/>
  <c r="T310" i="4"/>
  <c r="U310" i="4" s="1"/>
  <c r="S310" i="4"/>
  <c r="R310" i="4"/>
  <c r="T309" i="4"/>
  <c r="U309" i="4" s="1"/>
  <c r="S309" i="4"/>
  <c r="R309" i="4"/>
  <c r="T307" i="4"/>
  <c r="U307" i="4" s="1"/>
  <c r="S307" i="4"/>
  <c r="R307" i="4"/>
  <c r="T80" i="4"/>
  <c r="U80" i="4" s="1"/>
  <c r="S80" i="4"/>
  <c r="R80" i="4"/>
  <c r="T372" i="4"/>
  <c r="U372" i="4" s="1"/>
  <c r="S372" i="4"/>
  <c r="R372" i="4"/>
  <c r="T371" i="4"/>
  <c r="U371" i="4" s="1"/>
  <c r="S371" i="4"/>
  <c r="R371" i="4"/>
  <c r="T220" i="4"/>
  <c r="U220" i="4" s="1"/>
  <c r="S220" i="4"/>
  <c r="R220" i="4"/>
  <c r="T167" i="4"/>
  <c r="U167" i="4" s="1"/>
  <c r="S167" i="4"/>
  <c r="R167" i="4"/>
  <c r="T157" i="4"/>
  <c r="U157" i="4" s="1"/>
  <c r="S157" i="4"/>
  <c r="R157" i="4"/>
  <c r="T146" i="4"/>
  <c r="U146" i="4" s="1"/>
  <c r="S146" i="4"/>
  <c r="R146" i="4"/>
  <c r="T141" i="4"/>
  <c r="U141" i="4" s="1"/>
  <c r="S141" i="4"/>
  <c r="R141" i="4"/>
  <c r="T111" i="4"/>
  <c r="U111" i="4" s="1"/>
  <c r="S111" i="4"/>
  <c r="R111" i="4"/>
  <c r="T108" i="4"/>
  <c r="U108" i="4" s="1"/>
  <c r="S108" i="4"/>
  <c r="R108" i="4"/>
  <c r="T106" i="4"/>
  <c r="U106" i="4" s="1"/>
  <c r="S106" i="4"/>
  <c r="R106" i="4"/>
  <c r="T105" i="4"/>
  <c r="U105" i="4" s="1"/>
  <c r="S105" i="4"/>
  <c r="R105" i="4"/>
  <c r="T100" i="4"/>
  <c r="U100" i="4" s="1"/>
  <c r="S100" i="4"/>
  <c r="R100" i="4"/>
  <c r="T99" i="4"/>
  <c r="U99" i="4" s="1"/>
  <c r="S99" i="4"/>
  <c r="R99" i="4"/>
  <c r="T97" i="4"/>
  <c r="U97" i="4" s="1"/>
  <c r="S97" i="4"/>
  <c r="R97" i="4"/>
  <c r="T95" i="4"/>
  <c r="U95" i="4" s="1"/>
  <c r="S95" i="4"/>
  <c r="R95" i="4"/>
  <c r="T93" i="4"/>
  <c r="U93" i="4" s="1"/>
  <c r="S93" i="4"/>
  <c r="R93" i="4"/>
  <c r="T91" i="4"/>
  <c r="U91" i="4" s="1"/>
  <c r="S91" i="4"/>
  <c r="R91" i="4"/>
  <c r="T87" i="4"/>
  <c r="U87" i="4" s="1"/>
  <c r="S87" i="4"/>
  <c r="R87" i="4"/>
  <c r="T82" i="4"/>
  <c r="U82" i="4" s="1"/>
  <c r="S82" i="4"/>
  <c r="R82" i="4"/>
  <c r="T81" i="4"/>
  <c r="U81" i="4" s="1"/>
  <c r="S81" i="4"/>
  <c r="R81" i="4"/>
  <c r="T78" i="4"/>
  <c r="U78" i="4" s="1"/>
  <c r="S78" i="4"/>
  <c r="R78" i="4"/>
  <c r="T62" i="4"/>
  <c r="U62" i="4" s="1"/>
  <c r="S62" i="4"/>
  <c r="R62" i="4"/>
  <c r="T56" i="4"/>
  <c r="U56" i="4" s="1"/>
  <c r="S56" i="4"/>
  <c r="R56" i="4"/>
  <c r="T55" i="4"/>
  <c r="U55" i="4" s="1"/>
  <c r="S55" i="4"/>
  <c r="R55" i="4"/>
  <c r="T23" i="4"/>
  <c r="U23" i="4" s="1"/>
  <c r="S23" i="4"/>
  <c r="R23" i="4"/>
  <c r="T21" i="4"/>
  <c r="U21" i="4" s="1"/>
  <c r="S21" i="4"/>
  <c r="R21" i="4"/>
  <c r="T20" i="4"/>
  <c r="U20" i="4" s="1"/>
  <c r="S20" i="4"/>
  <c r="R20" i="4"/>
  <c r="T18" i="4"/>
  <c r="U18" i="4" s="1"/>
  <c r="S18" i="4"/>
  <c r="R18" i="4"/>
  <c r="T17" i="4"/>
  <c r="U17" i="4" s="1"/>
  <c r="S17" i="4"/>
  <c r="R17" i="4"/>
  <c r="T16" i="4"/>
  <c r="U16" i="4" s="1"/>
  <c r="S16" i="4"/>
  <c r="R16" i="4"/>
  <c r="T15" i="4"/>
  <c r="U15" i="4" s="1"/>
  <c r="S15" i="4"/>
  <c r="R15" i="4"/>
  <c r="T14" i="4"/>
  <c r="U14" i="4" s="1"/>
  <c r="S14" i="4"/>
  <c r="R14" i="4"/>
  <c r="T13" i="4"/>
  <c r="U13" i="4" s="1"/>
  <c r="S13" i="4"/>
  <c r="R13" i="4"/>
  <c r="T305" i="4"/>
  <c r="U305" i="4" s="1"/>
  <c r="S305" i="4"/>
  <c r="R305" i="4"/>
  <c r="T292" i="4"/>
  <c r="U292" i="4" s="1"/>
  <c r="S292" i="4"/>
  <c r="R292" i="4"/>
  <c r="T277" i="4"/>
  <c r="U277" i="4" s="1"/>
  <c r="S277" i="4"/>
  <c r="R277" i="4"/>
  <c r="T268" i="4"/>
  <c r="U268" i="4" s="1"/>
  <c r="S268" i="4"/>
  <c r="R268" i="4"/>
  <c r="T243" i="4"/>
  <c r="U243" i="4" s="1"/>
  <c r="S243" i="4"/>
  <c r="R243" i="4"/>
  <c r="T155" i="4"/>
  <c r="U155" i="4" s="1"/>
  <c r="S155" i="4"/>
  <c r="R155" i="4"/>
  <c r="T231" i="4"/>
  <c r="U231" i="4" s="1"/>
  <c r="S231" i="4"/>
  <c r="R231" i="4"/>
  <c r="T396" i="4"/>
  <c r="U396" i="4" s="1"/>
  <c r="S396" i="4"/>
  <c r="R396" i="4"/>
  <c r="T378" i="4"/>
  <c r="U378" i="4" s="1"/>
  <c r="S378" i="4"/>
  <c r="R378" i="4"/>
  <c r="T375" i="4"/>
  <c r="U375" i="4" s="1"/>
  <c r="S375" i="4"/>
  <c r="R375" i="4"/>
  <c r="T353" i="4"/>
  <c r="U353" i="4" s="1"/>
  <c r="S353" i="4"/>
  <c r="R353" i="4"/>
  <c r="T344" i="4"/>
  <c r="U344" i="4" s="1"/>
  <c r="S344" i="4"/>
  <c r="R344" i="4"/>
  <c r="T342" i="4"/>
  <c r="U342" i="4" s="1"/>
  <c r="S342" i="4"/>
  <c r="R342" i="4"/>
  <c r="T341" i="4"/>
  <c r="U341" i="4" s="1"/>
  <c r="S341" i="4"/>
  <c r="R341" i="4"/>
  <c r="T331" i="4"/>
  <c r="U331" i="4" s="1"/>
  <c r="S331" i="4"/>
  <c r="R331" i="4"/>
  <c r="T367" i="4"/>
  <c r="U367" i="4" s="1"/>
  <c r="S367" i="4"/>
  <c r="R367" i="4"/>
  <c r="T366" i="4"/>
  <c r="U366" i="4" s="1"/>
  <c r="S366" i="4"/>
  <c r="R366" i="4"/>
  <c r="T365" i="4"/>
  <c r="U365" i="4" s="1"/>
  <c r="S365" i="4"/>
  <c r="R365" i="4"/>
  <c r="T395" i="4"/>
  <c r="U395" i="4" s="1"/>
  <c r="S395" i="4"/>
  <c r="R395" i="4"/>
  <c r="T299" i="4"/>
  <c r="U299" i="4" s="1"/>
  <c r="S299" i="4"/>
  <c r="R299" i="4"/>
  <c r="T266" i="4"/>
  <c r="U266" i="4" s="1"/>
  <c r="S266" i="4"/>
  <c r="R266" i="4"/>
  <c r="T252" i="4"/>
  <c r="U252" i="4" s="1"/>
  <c r="S252" i="4"/>
  <c r="R252" i="4"/>
  <c r="T206" i="4"/>
  <c r="U206" i="4" s="1"/>
  <c r="S206" i="4"/>
  <c r="R206" i="4"/>
  <c r="T317" i="4"/>
  <c r="U317" i="4" s="1"/>
  <c r="S317" i="4"/>
  <c r="R317" i="4"/>
  <c r="T316" i="4"/>
  <c r="U316" i="4" s="1"/>
  <c r="S316" i="4"/>
  <c r="R316" i="4"/>
  <c r="T235" i="4"/>
  <c r="U235" i="4" s="1"/>
  <c r="S235" i="4"/>
  <c r="R235" i="4"/>
  <c r="T188" i="4"/>
  <c r="U188" i="4" s="1"/>
  <c r="S188" i="4"/>
  <c r="R188" i="4"/>
  <c r="T164" i="4"/>
  <c r="U164" i="4" s="1"/>
  <c r="S164" i="4"/>
  <c r="R164" i="4"/>
  <c r="T52" i="4"/>
  <c r="U52" i="4" s="1"/>
  <c r="S52" i="4"/>
  <c r="R52" i="4"/>
  <c r="T51" i="4"/>
  <c r="U51" i="4" s="1"/>
  <c r="S51" i="4"/>
  <c r="R51" i="4"/>
  <c r="T373" i="4"/>
  <c r="U373" i="4" s="1"/>
  <c r="S373" i="4"/>
  <c r="R373" i="4"/>
  <c r="T200" i="4"/>
  <c r="U200" i="4" s="1"/>
  <c r="S200" i="4"/>
  <c r="R200" i="4"/>
  <c r="T198" i="4"/>
  <c r="U198" i="4" s="1"/>
  <c r="S198" i="4"/>
  <c r="R198" i="4"/>
  <c r="T196" i="4"/>
  <c r="U196" i="4" s="1"/>
  <c r="S196" i="4"/>
  <c r="R196" i="4"/>
  <c r="T139" i="4"/>
  <c r="U139" i="4" s="1"/>
  <c r="S139" i="4"/>
  <c r="R139" i="4"/>
  <c r="T110" i="4"/>
  <c r="U110" i="4" s="1"/>
  <c r="S110" i="4"/>
  <c r="R110" i="4"/>
  <c r="T112" i="4"/>
  <c r="U112" i="4" s="1"/>
  <c r="S112" i="4"/>
  <c r="R112" i="4"/>
  <c r="T109" i="4"/>
  <c r="U109" i="4" s="1"/>
  <c r="S109" i="4"/>
  <c r="R109" i="4"/>
  <c r="T358" i="4"/>
  <c r="U358" i="4" s="1"/>
  <c r="S358" i="4"/>
  <c r="R358" i="4"/>
  <c r="T356" i="4"/>
  <c r="U356" i="4" s="1"/>
  <c r="S356" i="4"/>
  <c r="R356" i="4"/>
  <c r="T351" i="4"/>
  <c r="U351" i="4" s="1"/>
  <c r="S351" i="4"/>
  <c r="R351" i="4"/>
  <c r="T349" i="4"/>
  <c r="U349" i="4" s="1"/>
  <c r="S349" i="4"/>
  <c r="R349" i="4"/>
  <c r="T286" i="4"/>
  <c r="U286" i="4" s="1"/>
  <c r="S286" i="4"/>
  <c r="R286" i="4"/>
  <c r="T284" i="4"/>
  <c r="U284" i="4" s="1"/>
  <c r="S284" i="4"/>
  <c r="R284" i="4"/>
  <c r="T263" i="4"/>
  <c r="U263" i="4" s="1"/>
  <c r="S263" i="4"/>
  <c r="R263" i="4"/>
  <c r="T261" i="4"/>
  <c r="U261" i="4" s="1"/>
  <c r="S261" i="4"/>
  <c r="R261" i="4"/>
  <c r="T259" i="4"/>
  <c r="U259" i="4" s="1"/>
  <c r="S259" i="4"/>
  <c r="R259" i="4"/>
  <c r="T213" i="4"/>
  <c r="U213" i="4" s="1"/>
  <c r="S213" i="4"/>
  <c r="R213" i="4"/>
  <c r="T212" i="4"/>
  <c r="U212" i="4" s="1"/>
  <c r="S212" i="4"/>
  <c r="R212" i="4"/>
  <c r="T163" i="4"/>
  <c r="U163" i="4" s="1"/>
  <c r="S163" i="4"/>
  <c r="R163" i="4"/>
  <c r="T162" i="4"/>
  <c r="U162" i="4" s="1"/>
  <c r="S162" i="4"/>
  <c r="R162" i="4"/>
  <c r="T160" i="4"/>
  <c r="U160" i="4" s="1"/>
  <c r="S160" i="4"/>
  <c r="R160" i="4"/>
  <c r="T159" i="4"/>
  <c r="U159" i="4" s="1"/>
  <c r="S159" i="4"/>
  <c r="R159" i="4"/>
  <c r="T147" i="4"/>
  <c r="U147" i="4" s="1"/>
  <c r="S147" i="4"/>
  <c r="R147" i="4"/>
  <c r="T145" i="4"/>
  <c r="U145" i="4" s="1"/>
  <c r="S145" i="4"/>
  <c r="R145" i="4"/>
  <c r="T144" i="4"/>
  <c r="U144" i="4" s="1"/>
  <c r="S144" i="4"/>
  <c r="R144" i="4"/>
  <c r="T142" i="4"/>
  <c r="U142" i="4" s="1"/>
  <c r="S142" i="4"/>
  <c r="R142" i="4"/>
  <c r="T122" i="4"/>
  <c r="U122" i="4" s="1"/>
  <c r="S122" i="4"/>
  <c r="R122" i="4"/>
  <c r="T89" i="4"/>
  <c r="U89" i="4" s="1"/>
  <c r="S89" i="4"/>
  <c r="R89" i="4"/>
  <c r="T88" i="4"/>
  <c r="U88" i="4" s="1"/>
  <c r="S88" i="4"/>
  <c r="R88" i="4"/>
  <c r="T59" i="4"/>
  <c r="U59" i="4" s="1"/>
  <c r="S59" i="4"/>
  <c r="R59" i="4"/>
  <c r="T57" i="4"/>
  <c r="U57" i="4" s="1"/>
  <c r="S57" i="4"/>
  <c r="R57" i="4"/>
  <c r="T54" i="4"/>
  <c r="U54" i="4" s="1"/>
  <c r="S54" i="4"/>
  <c r="R54" i="4"/>
  <c r="T53" i="4"/>
  <c r="U53" i="4" s="1"/>
  <c r="S53" i="4"/>
  <c r="R53" i="4"/>
  <c r="T33" i="4"/>
  <c r="U33" i="4" s="1"/>
  <c r="S33" i="4"/>
  <c r="R33" i="4"/>
  <c r="T32" i="4"/>
  <c r="U32" i="4" s="1"/>
  <c r="S32" i="4"/>
  <c r="R32" i="4"/>
  <c r="T29" i="4"/>
  <c r="U29" i="4" s="1"/>
  <c r="S29" i="4"/>
  <c r="R29" i="4"/>
  <c r="T28" i="4"/>
  <c r="U28" i="4" s="1"/>
  <c r="S28" i="4"/>
  <c r="R28" i="4"/>
  <c r="T27" i="4"/>
  <c r="U27" i="4" s="1"/>
  <c r="S27" i="4"/>
  <c r="R27" i="4"/>
  <c r="T219" i="4"/>
  <c r="U219" i="4" s="1"/>
  <c r="S219" i="4"/>
  <c r="R219" i="4"/>
  <c r="T103" i="4"/>
  <c r="U103" i="4" s="1"/>
  <c r="S103" i="4"/>
  <c r="R103" i="4"/>
  <c r="T101" i="4"/>
  <c r="U101" i="4" s="1"/>
  <c r="S101" i="4"/>
  <c r="R101" i="4"/>
  <c r="T73" i="4"/>
  <c r="U73" i="4" s="1"/>
  <c r="S73" i="4"/>
  <c r="R73" i="4"/>
  <c r="T72" i="4"/>
  <c r="U72" i="4" s="1"/>
  <c r="S72" i="4"/>
  <c r="R72" i="4"/>
  <c r="T43" i="4"/>
  <c r="U43" i="4" s="1"/>
  <c r="S43" i="4"/>
  <c r="R43" i="4"/>
  <c r="T42" i="4"/>
  <c r="U42" i="4" s="1"/>
  <c r="S42" i="4"/>
  <c r="R42" i="4"/>
  <c r="Q417" i="4"/>
  <c r="T5" i="4"/>
  <c r="S5" i="4"/>
  <c r="S417" i="4" s="1"/>
  <c r="R5" i="4"/>
  <c r="R417" i="4" s="1"/>
  <c r="T92" i="4"/>
  <c r="U92" i="4" s="1"/>
  <c r="S92" i="4"/>
  <c r="R92" i="4"/>
  <c r="T359" i="4"/>
  <c r="U359" i="4" s="1"/>
  <c r="S359" i="4"/>
  <c r="R359" i="4"/>
  <c r="T357" i="4"/>
  <c r="U357" i="4" s="1"/>
  <c r="S357" i="4"/>
  <c r="R357" i="4"/>
  <c r="T352" i="4"/>
  <c r="U352" i="4" s="1"/>
  <c r="S352" i="4"/>
  <c r="R352" i="4"/>
  <c r="T350" i="4"/>
  <c r="U350" i="4" s="1"/>
  <c r="S350" i="4"/>
  <c r="R350" i="4"/>
  <c r="T287" i="4"/>
  <c r="U287" i="4" s="1"/>
  <c r="S287" i="4"/>
  <c r="R287" i="4"/>
  <c r="T285" i="4"/>
  <c r="U285" i="4" s="1"/>
  <c r="S285" i="4"/>
  <c r="R285" i="4"/>
  <c r="T262" i="4"/>
  <c r="U262" i="4" s="1"/>
  <c r="S262" i="4"/>
  <c r="R262" i="4"/>
  <c r="T260" i="4"/>
  <c r="U260" i="4" s="1"/>
  <c r="S260" i="4"/>
  <c r="R260" i="4"/>
  <c r="T104" i="4"/>
  <c r="U104" i="4" s="1"/>
  <c r="S104" i="4"/>
  <c r="R104" i="4"/>
  <c r="T102" i="4"/>
  <c r="U102" i="4" s="1"/>
  <c r="S102" i="4"/>
  <c r="R102" i="4"/>
  <c r="T60" i="4"/>
  <c r="U60" i="4" s="1"/>
  <c r="S60" i="4"/>
  <c r="R60" i="4"/>
  <c r="T58" i="4"/>
  <c r="U58" i="4" s="1"/>
  <c r="S58" i="4"/>
  <c r="R58" i="4"/>
  <c r="T416" i="4"/>
  <c r="U416" i="4" s="1"/>
  <c r="S416" i="4"/>
  <c r="R416" i="4"/>
  <c r="T415" i="4"/>
  <c r="U415" i="4" s="1"/>
  <c r="S415" i="4"/>
  <c r="R415" i="4"/>
  <c r="T414" i="4"/>
  <c r="U414" i="4" s="1"/>
  <c r="S414" i="4"/>
  <c r="R414" i="4"/>
  <c r="T413" i="4"/>
  <c r="U413" i="4" s="1"/>
  <c r="S413" i="4"/>
  <c r="R413" i="4"/>
  <c r="T412" i="4"/>
  <c r="U412" i="4" s="1"/>
  <c r="S412" i="4"/>
  <c r="R412" i="4"/>
  <c r="T411" i="4"/>
  <c r="U411" i="4" s="1"/>
  <c r="S411" i="4"/>
  <c r="R411" i="4"/>
  <c r="T407" i="4"/>
  <c r="U407" i="4" s="1"/>
  <c r="S407" i="4"/>
  <c r="R407" i="4"/>
  <c r="T387" i="4"/>
  <c r="U387" i="4" s="1"/>
  <c r="S387" i="4"/>
  <c r="R387" i="4"/>
  <c r="T376" i="4"/>
  <c r="U376" i="4" s="1"/>
  <c r="S376" i="4"/>
  <c r="R376" i="4"/>
  <c r="T314" i="4"/>
  <c r="U314" i="4" s="1"/>
  <c r="S314" i="4"/>
  <c r="R314" i="4"/>
  <c r="T232" i="4"/>
  <c r="U232" i="4" s="1"/>
  <c r="S232" i="4"/>
  <c r="R232" i="4"/>
  <c r="T182" i="4"/>
  <c r="U182" i="4" s="1"/>
  <c r="S182" i="4"/>
  <c r="R182" i="4"/>
  <c r="T115" i="4"/>
  <c r="U115" i="4" s="1"/>
  <c r="S115" i="4"/>
  <c r="R115" i="4"/>
  <c r="T45" i="4"/>
  <c r="U45" i="4" s="1"/>
  <c r="S45" i="4"/>
  <c r="R45" i="4"/>
  <c r="T362" i="4"/>
  <c r="U362" i="4" s="1"/>
  <c r="S362" i="4"/>
  <c r="R362" i="4"/>
  <c r="T346" i="4"/>
  <c r="U346" i="4" s="1"/>
  <c r="S346" i="4"/>
  <c r="R346" i="4"/>
  <c r="T320" i="4"/>
  <c r="U320" i="4" s="1"/>
  <c r="S320" i="4"/>
  <c r="R320" i="4"/>
  <c r="T315" i="4"/>
  <c r="U315" i="4" s="1"/>
  <c r="S315" i="4"/>
  <c r="R315" i="4"/>
  <c r="T294" i="4"/>
  <c r="U294" i="4" s="1"/>
  <c r="S294" i="4"/>
  <c r="R294" i="4"/>
  <c r="T264" i="4"/>
  <c r="U264" i="4" s="1"/>
  <c r="S264" i="4"/>
  <c r="R264" i="4"/>
  <c r="T242" i="4"/>
  <c r="U242" i="4" s="1"/>
  <c r="S242" i="4"/>
  <c r="R242" i="4"/>
  <c r="T236" i="4"/>
  <c r="U236" i="4" s="1"/>
  <c r="S236" i="4"/>
  <c r="R236" i="4"/>
  <c r="T222" i="4"/>
  <c r="U222" i="4" s="1"/>
  <c r="S222" i="4"/>
  <c r="R222" i="4"/>
  <c r="T216" i="4"/>
  <c r="U216" i="4" s="1"/>
  <c r="S216" i="4"/>
  <c r="R216" i="4"/>
  <c r="T191" i="4"/>
  <c r="U191" i="4" s="1"/>
  <c r="S191" i="4"/>
  <c r="R191" i="4"/>
  <c r="T190" i="4"/>
  <c r="U190" i="4" s="1"/>
  <c r="S190" i="4"/>
  <c r="R190" i="4"/>
  <c r="T184" i="4"/>
  <c r="U184" i="4" s="1"/>
  <c r="S184" i="4"/>
  <c r="R184" i="4"/>
  <c r="T183" i="4"/>
  <c r="U183" i="4" s="1"/>
  <c r="S183" i="4"/>
  <c r="R183" i="4"/>
  <c r="T152" i="4"/>
  <c r="U152" i="4" s="1"/>
  <c r="S152" i="4"/>
  <c r="R152" i="4"/>
  <c r="T149" i="4"/>
  <c r="U149" i="4" s="1"/>
  <c r="S149" i="4"/>
  <c r="R149" i="4"/>
  <c r="T118" i="4"/>
  <c r="U118" i="4" s="1"/>
  <c r="S118" i="4"/>
  <c r="R118" i="4"/>
  <c r="T117" i="4"/>
  <c r="U117" i="4" s="1"/>
  <c r="S117" i="4"/>
  <c r="R117" i="4"/>
  <c r="T116" i="4"/>
  <c r="U116" i="4" s="1"/>
  <c r="S116" i="4"/>
  <c r="R116" i="4"/>
  <c r="T114" i="4"/>
  <c r="U114" i="4" s="1"/>
  <c r="S114" i="4"/>
  <c r="R114" i="4"/>
  <c r="T113" i="4"/>
  <c r="U113" i="4" s="1"/>
  <c r="S113" i="4"/>
  <c r="R113" i="4"/>
  <c r="T96" i="4"/>
  <c r="U96" i="4" s="1"/>
  <c r="S96" i="4"/>
  <c r="R96" i="4"/>
  <c r="T84" i="4"/>
  <c r="U84" i="4" s="1"/>
  <c r="S84" i="4"/>
  <c r="R84" i="4"/>
  <c r="T47" i="4"/>
  <c r="U47" i="4" s="1"/>
  <c r="S47" i="4"/>
  <c r="R47" i="4"/>
  <c r="T46" i="4"/>
  <c r="U46" i="4" s="1"/>
  <c r="S46" i="4"/>
  <c r="R46" i="4"/>
  <c r="T38" i="4"/>
  <c r="U38" i="4" s="1"/>
  <c r="S38" i="4"/>
  <c r="R38" i="4"/>
  <c r="T35" i="4"/>
  <c r="U35" i="4" s="1"/>
  <c r="S35" i="4"/>
  <c r="R35" i="4"/>
  <c r="T26" i="4"/>
  <c r="U26" i="4" s="1"/>
  <c r="S26" i="4"/>
  <c r="R26" i="4"/>
  <c r="T406" i="4"/>
  <c r="U406" i="4" s="1"/>
  <c r="S406" i="4"/>
  <c r="R406" i="4"/>
  <c r="T397" i="4"/>
  <c r="U397" i="4" s="1"/>
  <c r="S397" i="4"/>
  <c r="R397" i="4"/>
  <c r="T394" i="4"/>
  <c r="U394" i="4" s="1"/>
  <c r="S394" i="4"/>
  <c r="R394" i="4"/>
  <c r="T393" i="4"/>
  <c r="U393" i="4" s="1"/>
  <c r="S393" i="4"/>
  <c r="R393" i="4"/>
  <c r="T391" i="4"/>
  <c r="U391" i="4" s="1"/>
  <c r="S391" i="4"/>
  <c r="R391" i="4"/>
  <c r="T390" i="4"/>
  <c r="U390" i="4" s="1"/>
  <c r="S390" i="4"/>
  <c r="R390" i="4"/>
  <c r="T389" i="4"/>
  <c r="U389" i="4" s="1"/>
  <c r="S389" i="4"/>
  <c r="R389" i="4"/>
  <c r="T386" i="4"/>
  <c r="U386" i="4" s="1"/>
  <c r="S386" i="4"/>
  <c r="R386" i="4"/>
  <c r="T385" i="4"/>
  <c r="U385" i="4" s="1"/>
  <c r="S385" i="4"/>
  <c r="R385" i="4"/>
  <c r="T379" i="4"/>
  <c r="U379" i="4" s="1"/>
  <c r="S379" i="4"/>
  <c r="R379" i="4"/>
  <c r="T377" i="4"/>
  <c r="U377" i="4" s="1"/>
  <c r="S377" i="4"/>
  <c r="R377" i="4"/>
  <c r="T368" i="4"/>
  <c r="U368" i="4" s="1"/>
  <c r="S368" i="4"/>
  <c r="R368" i="4"/>
  <c r="T364" i="4"/>
  <c r="U364" i="4" s="1"/>
  <c r="S364" i="4"/>
  <c r="R364" i="4"/>
  <c r="T363" i="4"/>
  <c r="U363" i="4" s="1"/>
  <c r="S363" i="4"/>
  <c r="R363" i="4"/>
  <c r="T361" i="4"/>
  <c r="U361" i="4" s="1"/>
  <c r="S361" i="4"/>
  <c r="R361" i="4"/>
  <c r="T354" i="4"/>
  <c r="U354" i="4" s="1"/>
  <c r="S354" i="4"/>
  <c r="R354" i="4"/>
  <c r="T340" i="4"/>
  <c r="U340" i="4" s="1"/>
  <c r="S340" i="4"/>
  <c r="R340" i="4"/>
  <c r="T339" i="4"/>
  <c r="U339" i="4" s="1"/>
  <c r="S339" i="4"/>
  <c r="R339" i="4"/>
  <c r="T338" i="4"/>
  <c r="U338" i="4" s="1"/>
  <c r="S338" i="4"/>
  <c r="R338" i="4"/>
  <c r="T335" i="4"/>
  <c r="U335" i="4" s="1"/>
  <c r="S335" i="4"/>
  <c r="R335" i="4"/>
  <c r="T332" i="4"/>
  <c r="U332" i="4" s="1"/>
  <c r="S332" i="4"/>
  <c r="R332" i="4"/>
  <c r="T327" i="4"/>
  <c r="U327" i="4" s="1"/>
  <c r="S327" i="4"/>
  <c r="R327" i="4"/>
  <c r="T325" i="4"/>
  <c r="U325" i="4" s="1"/>
  <c r="S325" i="4"/>
  <c r="R325" i="4"/>
  <c r="T324" i="4"/>
  <c r="U324" i="4" s="1"/>
  <c r="S324" i="4"/>
  <c r="R324" i="4"/>
  <c r="T321" i="4"/>
  <c r="U321" i="4" s="1"/>
  <c r="S321" i="4"/>
  <c r="R321" i="4"/>
  <c r="T319" i="4"/>
  <c r="U319" i="4" s="1"/>
  <c r="S319" i="4"/>
  <c r="R319" i="4"/>
  <c r="T318" i="4"/>
  <c r="U318" i="4" s="1"/>
  <c r="S318" i="4"/>
  <c r="R318" i="4"/>
  <c r="T298" i="4"/>
  <c r="U298" i="4" s="1"/>
  <c r="S298" i="4"/>
  <c r="R298" i="4"/>
  <c r="T290" i="4"/>
  <c r="U290" i="4" s="1"/>
  <c r="S290" i="4"/>
  <c r="R290" i="4"/>
  <c r="T265" i="4"/>
  <c r="U265" i="4" s="1"/>
  <c r="S265" i="4"/>
  <c r="R265" i="4"/>
  <c r="T258" i="4"/>
  <c r="U258" i="4" s="1"/>
  <c r="S258" i="4"/>
  <c r="R258" i="4"/>
  <c r="T257" i="4"/>
  <c r="U257" i="4" s="1"/>
  <c r="S257" i="4"/>
  <c r="R257" i="4"/>
  <c r="T241" i="4"/>
  <c r="U241" i="4" s="1"/>
  <c r="S241" i="4"/>
  <c r="R241" i="4"/>
  <c r="T237" i="4"/>
  <c r="U237" i="4" s="1"/>
  <c r="S237" i="4"/>
  <c r="R237" i="4"/>
  <c r="T226" i="4"/>
  <c r="U226" i="4" s="1"/>
  <c r="S226" i="4"/>
  <c r="R226" i="4"/>
  <c r="T221" i="4"/>
  <c r="U221" i="4" s="1"/>
  <c r="S221" i="4"/>
  <c r="R221" i="4"/>
  <c r="T204" i="4"/>
  <c r="U204" i="4" s="1"/>
  <c r="S204" i="4"/>
  <c r="R204" i="4"/>
  <c r="T193" i="4"/>
  <c r="U193" i="4" s="1"/>
  <c r="S193" i="4"/>
  <c r="R193" i="4"/>
  <c r="T189" i="4"/>
  <c r="U189" i="4" s="1"/>
  <c r="S189" i="4"/>
  <c r="R189" i="4"/>
  <c r="T185" i="4"/>
  <c r="U185" i="4" s="1"/>
  <c r="S185" i="4"/>
  <c r="R185" i="4"/>
  <c r="T181" i="4"/>
  <c r="U181" i="4" s="1"/>
  <c r="S181" i="4"/>
  <c r="R181" i="4"/>
  <c r="T169" i="4"/>
  <c r="U169" i="4" s="1"/>
  <c r="S169" i="4"/>
  <c r="R169" i="4"/>
  <c r="T165" i="4"/>
  <c r="U165" i="4" s="1"/>
  <c r="S165" i="4"/>
  <c r="R165" i="4"/>
  <c r="T137" i="4"/>
  <c r="U137" i="4" s="1"/>
  <c r="S137" i="4"/>
  <c r="R137" i="4"/>
  <c r="T135" i="4"/>
  <c r="U135" i="4" s="1"/>
  <c r="S135" i="4"/>
  <c r="R135" i="4"/>
  <c r="T326" i="4"/>
  <c r="U326" i="4" s="1"/>
  <c r="S326" i="4"/>
  <c r="R326" i="4"/>
  <c r="T127" i="4"/>
  <c r="U127" i="4" s="1"/>
  <c r="S127" i="4"/>
  <c r="R127" i="4"/>
  <c r="T126" i="4"/>
  <c r="U126" i="4" s="1"/>
  <c r="S126" i="4"/>
  <c r="R126" i="4"/>
  <c r="T125" i="4"/>
  <c r="U125" i="4" s="1"/>
  <c r="S125" i="4"/>
  <c r="R125" i="4"/>
  <c r="T121" i="4"/>
  <c r="U121" i="4" s="1"/>
  <c r="S121" i="4"/>
  <c r="R121" i="4"/>
  <c r="T98" i="4"/>
  <c r="U98" i="4" s="1"/>
  <c r="S98" i="4"/>
  <c r="R98" i="4"/>
  <c r="T86" i="4"/>
  <c r="U86" i="4" s="1"/>
  <c r="S86" i="4"/>
  <c r="R86" i="4"/>
  <c r="T69" i="4"/>
  <c r="U69" i="4" s="1"/>
  <c r="S69" i="4"/>
  <c r="R69" i="4"/>
  <c r="T65" i="4"/>
  <c r="U65" i="4" s="1"/>
  <c r="S65" i="4"/>
  <c r="R65" i="4"/>
  <c r="T61" i="4"/>
  <c r="U61" i="4" s="1"/>
  <c r="S61" i="4"/>
  <c r="R61" i="4"/>
  <c r="T49" i="4"/>
  <c r="U49" i="4" s="1"/>
  <c r="S49" i="4"/>
  <c r="R49" i="4"/>
  <c r="T48" i="4"/>
  <c r="U48" i="4" s="1"/>
  <c r="S48" i="4"/>
  <c r="R48" i="4"/>
  <c r="T34" i="4"/>
  <c r="U34" i="4" s="1"/>
  <c r="S34" i="4"/>
  <c r="R34" i="4"/>
  <c r="T24" i="4"/>
  <c r="U24" i="4" s="1"/>
  <c r="S24" i="4"/>
  <c r="R24" i="4"/>
  <c r="T22" i="4"/>
  <c r="U22" i="4" s="1"/>
  <c r="S22" i="4"/>
  <c r="R22" i="4"/>
  <c r="T12" i="4"/>
  <c r="U12" i="4" s="1"/>
  <c r="S12" i="4"/>
  <c r="R12" i="4"/>
  <c r="T79" i="4"/>
  <c r="U79" i="4" s="1"/>
  <c r="S79" i="4"/>
  <c r="R79" i="4"/>
  <c r="T74" i="4"/>
  <c r="U74" i="4" s="1"/>
  <c r="S74" i="4"/>
  <c r="R74" i="4"/>
  <c r="T70" i="4"/>
  <c r="U70" i="4" s="1"/>
  <c r="S70" i="4"/>
  <c r="R70" i="4"/>
  <c r="T39" i="4"/>
  <c r="U39" i="4" s="1"/>
  <c r="S39" i="4"/>
  <c r="R39" i="4"/>
  <c r="T37" i="4"/>
  <c r="U37" i="4" s="1"/>
  <c r="S37" i="4"/>
  <c r="R37" i="4"/>
  <c r="T36" i="4"/>
  <c r="U36" i="4" s="1"/>
  <c r="S36" i="4"/>
  <c r="R36" i="4"/>
  <c r="T410" i="4"/>
  <c r="U410" i="4" s="1"/>
  <c r="S410" i="4"/>
  <c r="R410" i="4"/>
  <c r="T383" i="4"/>
  <c r="U383" i="4" s="1"/>
  <c r="S383" i="4"/>
  <c r="R383" i="4"/>
  <c r="T382" i="4"/>
  <c r="U382" i="4" s="1"/>
  <c r="S382" i="4"/>
  <c r="R382" i="4"/>
  <c r="T381" i="4"/>
  <c r="U381" i="4" s="1"/>
  <c r="S381" i="4"/>
  <c r="R381" i="4"/>
  <c r="T94" i="4"/>
  <c r="U94" i="4" s="1"/>
  <c r="S94" i="4"/>
  <c r="R94" i="4"/>
  <c r="T67" i="4"/>
  <c r="U67" i="4" s="1"/>
  <c r="S67" i="4"/>
  <c r="R67" i="4"/>
  <c r="T380" i="4"/>
  <c r="U380" i="4" s="1"/>
  <c r="S380" i="4"/>
  <c r="R380" i="4"/>
  <c r="T322" i="4"/>
  <c r="U322" i="4" s="1"/>
  <c r="S322" i="4"/>
  <c r="R322" i="4"/>
  <c r="T360" i="4"/>
  <c r="U360" i="4" s="1"/>
  <c r="S360" i="4"/>
  <c r="R360" i="4"/>
  <c r="T154" i="4"/>
  <c r="U154" i="4" s="1"/>
  <c r="S154" i="4"/>
  <c r="R154" i="4"/>
  <c r="T76" i="4"/>
  <c r="U76" i="4" s="1"/>
  <c r="S76" i="4"/>
  <c r="R76" i="4"/>
  <c r="T355" i="4"/>
  <c r="U355" i="4" s="1"/>
  <c r="S355" i="4"/>
  <c r="R355" i="4"/>
  <c r="E5" i="14"/>
  <c r="F5" i="14" s="1"/>
  <c r="J20" i="7"/>
  <c r="T417" i="4" l="1"/>
  <c r="P417" i="4" s="1"/>
  <c r="U5" i="4"/>
  <c r="U417" i="4" s="1"/>
  <c r="M75" i="3"/>
  <c r="J72" i="3"/>
  <c r="F6" i="6" s="1"/>
  <c r="M6" i="6" s="1"/>
  <c r="E6" i="14"/>
  <c r="F6" i="14" s="1"/>
  <c r="L32" i="9"/>
  <c r="E9" i="14"/>
  <c r="F9" i="14" s="1"/>
  <c r="L18" i="13"/>
  <c r="E8" i="14"/>
  <c r="F8" i="14" s="1"/>
  <c r="L11" i="12"/>
  <c r="E7" i="14"/>
  <c r="F7" i="14" s="1"/>
  <c r="L86" i="10"/>
  <c r="L6" i="6"/>
  <c r="N6" i="6"/>
  <c r="Q6" i="6"/>
  <c r="R6" i="6"/>
  <c r="R7" i="6"/>
  <c r="R10" i="6"/>
  <c r="R12" i="6"/>
  <c r="Q7" i="6"/>
  <c r="Q10" i="6"/>
  <c r="Q12" i="6"/>
  <c r="G4" i="8"/>
  <c r="J4" i="8"/>
  <c r="K4" i="8"/>
  <c r="L4" i="8"/>
  <c r="L6" i="8"/>
  <c r="K6" i="8"/>
  <c r="J6" i="8"/>
  <c r="G6" i="8"/>
  <c r="E4" i="14"/>
  <c r="F4" i="14"/>
  <c r="E11" i="14"/>
  <c r="F11" i="14"/>
  <c r="H6" i="6"/>
  <c r="J6" i="6"/>
  <c r="O6" i="6"/>
  <c r="O7" i="6"/>
  <c r="O10" i="6"/>
  <c r="E4" i="8"/>
  <c r="E6" i="8"/>
  <c r="C4" i="14"/>
  <c r="C11" i="14"/>
  <c r="G6" i="6"/>
  <c r="K6" i="6"/>
  <c r="P6" i="6"/>
  <c r="P7" i="6"/>
  <c r="P10" i="6"/>
  <c r="F4" i="8"/>
  <c r="F6" i="8"/>
  <c r="B4" i="14"/>
  <c r="B11" i="14"/>
  <c r="B13" i="14"/>
</calcChain>
</file>

<file path=xl/sharedStrings.xml><?xml version="1.0" encoding="utf-8"?>
<sst xmlns="http://schemas.openxmlformats.org/spreadsheetml/2006/main" count="5964" uniqueCount="1344">
  <si>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</si>
  <si>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</si>
  <si>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</si>
  <si>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</si>
  <si>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</si>
  <si>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</si>
  <si>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</si>
  <si>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</si>
  <si>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</si>
  <si>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460J</t>
  </si>
  <si>
    <t>5W</t>
  </si>
  <si>
    <t>255J</t>
  </si>
  <si>
    <t>230J</t>
  </si>
  <si>
    <t>4W</t>
  </si>
  <si>
    <t>3W</t>
  </si>
  <si>
    <t>138J</t>
  </si>
  <si>
    <t>127J</t>
  </si>
  <si>
    <t>115J</t>
  </si>
  <si>
    <t>2W</t>
  </si>
  <si>
    <t>100J</t>
  </si>
  <si>
    <t>70J</t>
  </si>
  <si>
    <t>1W</t>
  </si>
  <si>
    <t>51J</t>
  </si>
  <si>
    <t>46J</t>
  </si>
  <si>
    <t>35J</t>
  </si>
  <si>
    <t>26J</t>
  </si>
  <si>
    <t>18J</t>
  </si>
  <si>
    <t>12J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</si>
  <si>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</si>
  <si>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</si>
  <si>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</si>
  <si>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</si>
  <si>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</si>
  <si>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</si>
  <si>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</si>
  <si>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</si>
  <si>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</si>
  <si>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</si>
  <si>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</si>
  <si>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</si>
  <si>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</si>
  <si>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</si>
  <si>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</si>
  <si>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</si>
  <si>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Kantoor-/personeels-/werkruimte hard (basis)</t>
  </si>
  <si>
    <t>m²/uur</t>
  </si>
  <si>
    <t>BHV</t>
  </si>
  <si>
    <t>Kantoor-/personeels-/werkruimte hard (volledig)</t>
  </si>
  <si>
    <t>BZB</t>
  </si>
  <si>
    <t>Kantoor-/personeels-/werkruimte zacht (basis)</t>
  </si>
  <si>
    <t>BZV</t>
  </si>
  <si>
    <t>Kantoor-/personeels-/werkruimte zacht (volledig)</t>
  </si>
  <si>
    <t>HHB</t>
  </si>
  <si>
    <t>Behandel/onderzoeksruimte hard (basis)</t>
  </si>
  <si>
    <t>HHV</t>
  </si>
  <si>
    <t>Behandel/onderzoeksruimte hard (volledig)</t>
  </si>
  <si>
    <t>MHB</t>
  </si>
  <si>
    <t>Media-/bilbiotheek hard (basis)</t>
  </si>
  <si>
    <t>MHV</t>
  </si>
  <si>
    <t>Media-/bilbiotheek hard (volledig)</t>
  </si>
  <si>
    <t>OHB</t>
  </si>
  <si>
    <t>Vergader-/spreek-/overlegruimte hard (basis)</t>
  </si>
  <si>
    <t>OHV</t>
  </si>
  <si>
    <t>Vergader-/spreek-/overlegruimte hard (volledig)</t>
  </si>
  <si>
    <t>OZB</t>
  </si>
  <si>
    <t>Vergader-/spreek-/overlegruimte zacht (basis)</t>
  </si>
  <si>
    <t>OZV</t>
  </si>
  <si>
    <t>Vergader-/spreek-/overlegruimte zacht (volledig)</t>
  </si>
  <si>
    <t>PAHB</t>
  </si>
  <si>
    <t>Atelier (werkplekken) hard (basis)</t>
  </si>
  <si>
    <t>PAHV</t>
  </si>
  <si>
    <t>Atelier (werkplekken) hard (volledig)</t>
  </si>
  <si>
    <t>RRHB</t>
  </si>
  <si>
    <t>Receptie/ontvangst-/wachtruimten hard (basis)</t>
  </si>
  <si>
    <t>RRHV</t>
  </si>
  <si>
    <t>Receptie/ontvangst-/wachtruimten hard (volledig)</t>
  </si>
  <si>
    <t>RRZB</t>
  </si>
  <si>
    <t>Receptie/ontvangst-/wachtruimten zacht (basis)</t>
  </si>
  <si>
    <t>RRZV</t>
  </si>
  <si>
    <t>Receptie/ontvangst-/wachtruimten zacht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</si>
  <si>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</si>
  <si>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</si>
  <si>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</si>
  <si>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</si>
  <si>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</si>
  <si>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</si>
  <si>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</si>
  <si>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</si>
  <si>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</si>
  <si>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</si>
  <si>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</si>
  <si>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</si>
  <si>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</si>
  <si>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AHV</t>
  </si>
  <si>
    <t xml:space="preserve">V    </t>
  </si>
  <si>
    <t>Archief/berging/magazijn/opslag hard (volledig)</t>
  </si>
  <si>
    <t>AZB</t>
  </si>
  <si>
    <t>Archief/berging/magazijn/opslag zacht (basis)</t>
  </si>
  <si>
    <t>AZV</t>
  </si>
  <si>
    <t>Archief/berging/magazijn/opslag zacht (volledig)</t>
  </si>
  <si>
    <t>CHB</t>
  </si>
  <si>
    <t>Theater/concertzaal hard (basis)</t>
  </si>
  <si>
    <t>CHV</t>
  </si>
  <si>
    <t>Theater/concertzaal hard (volledig)</t>
  </si>
  <si>
    <t>CZB</t>
  </si>
  <si>
    <t>Theater/concertzaal zacht (basis)</t>
  </si>
  <si>
    <t>CZV</t>
  </si>
  <si>
    <t>Theater/concertzaal zacht (volledig)</t>
  </si>
  <si>
    <t>EHB</t>
  </si>
  <si>
    <t>Entree hard (basis)</t>
  </si>
  <si>
    <t>EHV</t>
  </si>
  <si>
    <t>Entree hard (volledig)</t>
  </si>
  <si>
    <t>EZB</t>
  </si>
  <si>
    <t>Entree zacht (basis)</t>
  </si>
  <si>
    <t>EZV</t>
  </si>
  <si>
    <t>Entree zacht (volledig)</t>
  </si>
  <si>
    <t>FHB</t>
  </si>
  <si>
    <t>Lift hard (basis)</t>
  </si>
  <si>
    <t>FHV</t>
  </si>
  <si>
    <t>Lift hard (volledig)</t>
  </si>
  <si>
    <t>GHB</t>
  </si>
  <si>
    <t>Sport-/fitness ruimte hard (basis)</t>
  </si>
  <si>
    <t>GHV</t>
  </si>
  <si>
    <t>Sport-/fitness ruimte hard (volledig)</t>
  </si>
  <si>
    <t>IHB</t>
  </si>
  <si>
    <t>Balletstudio hard (basis)</t>
  </si>
  <si>
    <t>IHV</t>
  </si>
  <si>
    <t>Balletstudio hard (volledig)</t>
  </si>
  <si>
    <t>PHB</t>
  </si>
  <si>
    <t>Pantry/keuken hard (basis)</t>
  </si>
  <si>
    <t>PHV</t>
  </si>
  <si>
    <t>Pantry/keuken hard (volledig)</t>
  </si>
  <si>
    <t>RHB</t>
  </si>
  <si>
    <t>Personeelsrestaurant/kantine harde (basis)</t>
  </si>
  <si>
    <t>RHV</t>
  </si>
  <si>
    <t>Personeelsrestaurant/kantine harde (volledig)</t>
  </si>
  <si>
    <t>THB</t>
  </si>
  <si>
    <t>Trap hard (basis)</t>
  </si>
  <si>
    <t>THV</t>
  </si>
  <si>
    <t>Trap hard (volledig)</t>
  </si>
  <si>
    <t>VHB</t>
  </si>
  <si>
    <t>Verkeersruimte/garderobe/foyer/reprografie hard (basis)</t>
  </si>
  <si>
    <t>VHV</t>
  </si>
  <si>
    <t>Verkeersruimte/garderobe/foyer/reprografie hard (volledig)</t>
  </si>
  <si>
    <t>WPHB</t>
  </si>
  <si>
    <t>Werkplaats hard (basis)</t>
  </si>
  <si>
    <t>WPHV</t>
  </si>
  <si>
    <t>Werkplaats hard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</si>
  <si>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</si>
  <si>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</si>
  <si>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</si>
  <si>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</si>
  <si>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</si>
  <si>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</si>
  <si>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</si>
  <si>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</si>
  <si>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</si>
  <si>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</si>
  <si>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Opslagruimte harde vloer</t>
  </si>
  <si>
    <t>AZ</t>
  </si>
  <si>
    <t>Opslagruimte zachte vloer</t>
  </si>
  <si>
    <t>BH</t>
  </si>
  <si>
    <t>Kantoor/personeels-/werkruimte harde vloer</t>
  </si>
  <si>
    <t>BZ</t>
  </si>
  <si>
    <t>Kantoor/personeels-/werkruimte zachte vloer</t>
  </si>
  <si>
    <t>CH</t>
  </si>
  <si>
    <t>Theater/concertzaal harde vloer</t>
  </si>
  <si>
    <t>CZ</t>
  </si>
  <si>
    <t>Theater/concertzaal zachte vloer</t>
  </si>
  <si>
    <t>DH</t>
  </si>
  <si>
    <t>Douche/wasruimte harde vloer</t>
  </si>
  <si>
    <t>EH</t>
  </si>
  <si>
    <t>Entree harde vloer</t>
  </si>
  <si>
    <t>EZ</t>
  </si>
  <si>
    <t>Entree zachte vloer</t>
  </si>
  <si>
    <t>FH</t>
  </si>
  <si>
    <t>Lift harde vloer</t>
  </si>
  <si>
    <t>GH</t>
  </si>
  <si>
    <t>Sport-/fitness ruimte harde vloer</t>
  </si>
  <si>
    <t>HH</t>
  </si>
  <si>
    <t>Behandel-/onderzoeksruimte harde vloer</t>
  </si>
  <si>
    <t>IH</t>
  </si>
  <si>
    <t>Studio harde vloer</t>
  </si>
  <si>
    <t>KH</t>
  </si>
  <si>
    <t>Kleedruimte harde vloer</t>
  </si>
  <si>
    <t>MH</t>
  </si>
  <si>
    <t>Media-/bibliotheek harde vloer</t>
  </si>
  <si>
    <t>OH</t>
  </si>
  <si>
    <t>Vergader-/spreek-/overlegruimte harde vloer</t>
  </si>
  <si>
    <t>OZ</t>
  </si>
  <si>
    <t>Vergader-/spreek-/overlegruimte zachte vloer</t>
  </si>
  <si>
    <t>PAH</t>
  </si>
  <si>
    <t>Atelier (werkplekken) harde vloer</t>
  </si>
  <si>
    <t>PH</t>
  </si>
  <si>
    <t>Pantry/keuken/koffiehoek harde vloer</t>
  </si>
  <si>
    <t>RH</t>
  </si>
  <si>
    <t>Personeelsrestaurant/kantine harde vloer</t>
  </si>
  <si>
    <t>RRH</t>
  </si>
  <si>
    <t>Receptie/ontvangst-/wachtruimte harde vloer</t>
  </si>
  <si>
    <t>RRZ</t>
  </si>
  <si>
    <t>Receptie/ontvangst-/wachtruimte zachte vloer</t>
  </si>
  <si>
    <t>SH</t>
  </si>
  <si>
    <t>Sanitaire ruimte/toiletten harde vloer</t>
  </si>
  <si>
    <t>SHN</t>
  </si>
  <si>
    <t>Sanitaire ruimte/toiletten harde vloer naloop</t>
  </si>
  <si>
    <t>TH</t>
  </si>
  <si>
    <t>Trap harde vloer</t>
  </si>
  <si>
    <t>VH</t>
  </si>
  <si>
    <t>Verkeersruimte/garderobe/foyer/reprografie harde vloer</t>
  </si>
  <si>
    <t>WPH</t>
  </si>
  <si>
    <t>Werkplaats harde vloer</t>
  </si>
  <si>
    <t>Z005</t>
  </si>
  <si>
    <t>Fietsenstalling</t>
  </si>
  <si>
    <t>Z007</t>
  </si>
  <si>
    <t>Vloer dagelijks onderhoud en wekelijks schrobben</t>
  </si>
  <si>
    <t>Z001</t>
  </si>
  <si>
    <t>extra</t>
  </si>
  <si>
    <t>Peukentegel ledigen</t>
  </si>
  <si>
    <t>min./keer</t>
  </si>
  <si>
    <t>Z002</t>
  </si>
  <si>
    <t>Grindbak buiten zwerfvuil verwijderen</t>
  </si>
  <si>
    <t>Z003</t>
  </si>
  <si>
    <t>Koelkasten buitenzijde reiningen</t>
  </si>
  <si>
    <t>min./stuk</t>
  </si>
  <si>
    <t>Z004</t>
  </si>
  <si>
    <t>Magnetron buitenzijde reiningen</t>
  </si>
  <si>
    <t>Z006</t>
  </si>
  <si>
    <t>Vlekken uit tapijtvloeren verwijderen</t>
  </si>
  <si>
    <t>uur</t>
  </si>
  <si>
    <t>Z008</t>
  </si>
  <si>
    <t>Dieptereiniging keuken/spoelkeuken/koelcel Artfro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</si>
  <si>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</si>
  <si>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</si>
  <si>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</si>
  <si>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</si>
  <si>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</si>
  <si>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</si>
  <si>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</si>
  <si>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</si>
  <si>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</si>
  <si>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</si>
  <si>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</si>
  <si>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</si>
  <si>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001 - Nationale Opera &amp; Ballet, Waterlooplein 22, Amsterdam</t>
  </si>
  <si>
    <t>001</t>
  </si>
  <si>
    <t xml:space="preserve"> (Gebouw)</t>
  </si>
  <si>
    <t>02</t>
  </si>
  <si>
    <t>247D</t>
  </si>
  <si>
    <t>Toiletruimte D bij rekwisieten</t>
  </si>
  <si>
    <t>tegels</t>
  </si>
  <si>
    <t>EXTR</t>
  </si>
  <si>
    <t/>
  </si>
  <si>
    <t>Extra werkzaamheden</t>
  </si>
  <si>
    <t>A (Achtergebouw)</t>
  </si>
  <si>
    <t>-1</t>
  </si>
  <si>
    <t>1K02</t>
  </si>
  <si>
    <t>OR kantoor</t>
  </si>
  <si>
    <t>linoleum</t>
  </si>
  <si>
    <t>1K03</t>
  </si>
  <si>
    <t>Gang bij kap- &amp; grimekamer</t>
  </si>
  <si>
    <t>1K04</t>
  </si>
  <si>
    <t>Kleedkamer 11</t>
  </si>
  <si>
    <t>1K05</t>
  </si>
  <si>
    <t>Kleedkamers strijkkamer</t>
  </si>
  <si>
    <t>1K06</t>
  </si>
  <si>
    <t>Kleedkamer 12</t>
  </si>
  <si>
    <t>1K07</t>
  </si>
  <si>
    <t>Kleedkamers ruimte K&amp;G</t>
  </si>
  <si>
    <t>1K08</t>
  </si>
  <si>
    <t>Kleedkamer 13</t>
  </si>
  <si>
    <t>1K09</t>
  </si>
  <si>
    <t>Kleedkamer 14</t>
  </si>
  <si>
    <t>1K10</t>
  </si>
  <si>
    <t>Koor rustruimte</t>
  </si>
  <si>
    <t>1K13</t>
  </si>
  <si>
    <t>Kleedkamer 15</t>
  </si>
  <si>
    <t>1K15</t>
  </si>
  <si>
    <t>Kleedkamer 16</t>
  </si>
  <si>
    <t>1K16</t>
  </si>
  <si>
    <t>Gang bij kleedkamers</t>
  </si>
  <si>
    <t>1K17</t>
  </si>
  <si>
    <t>Kleedkamer 17</t>
  </si>
  <si>
    <t>1K21</t>
  </si>
  <si>
    <t>Gang bij lift 14, 15 &amp; 16</t>
  </si>
  <si>
    <t>1K26</t>
  </si>
  <si>
    <t>Opslag tussenopslag KKG</t>
  </si>
  <si>
    <t>beton</t>
  </si>
  <si>
    <t>1K31</t>
  </si>
  <si>
    <t>Trappenhuis roze</t>
  </si>
  <si>
    <t>noppen linoleum</t>
  </si>
  <si>
    <t>1K35D</t>
  </si>
  <si>
    <t>Toiletruimte D bij kleedkamers</t>
  </si>
  <si>
    <t>1K35H</t>
  </si>
  <si>
    <t>Toiletruimte H bij kleedkamers</t>
  </si>
  <si>
    <t>1K35i</t>
  </si>
  <si>
    <t>Toiletruimte invaliden bij kleedkamers</t>
  </si>
  <si>
    <t>1K37</t>
  </si>
  <si>
    <t>Doucheruimte H bij kleedkamers</t>
  </si>
  <si>
    <t>1K39</t>
  </si>
  <si>
    <t>Doucheruimte D bij kleedkamers</t>
  </si>
  <si>
    <t>1K41G</t>
  </si>
  <si>
    <t>Toiletruimte D bij lift 17</t>
  </si>
  <si>
    <t>Toiletruimte H bij lift 17</t>
  </si>
  <si>
    <t>1K43</t>
  </si>
  <si>
    <t>Gang bij lift 17</t>
  </si>
  <si>
    <t>1K54</t>
  </si>
  <si>
    <t>Trappenhuis blauw</t>
  </si>
  <si>
    <t>1K55</t>
  </si>
  <si>
    <t>Gang bij vleugelberging</t>
  </si>
  <si>
    <t>1K55A</t>
  </si>
  <si>
    <t>Gang bij orkestbak li</t>
  </si>
  <si>
    <t>1K57</t>
  </si>
  <si>
    <t>Trap naar balletstudio 4</t>
  </si>
  <si>
    <t>1K60</t>
  </si>
  <si>
    <t>Gang tussen stemkamers</t>
  </si>
  <si>
    <t>1K61</t>
  </si>
  <si>
    <t>Stemkamer 1</t>
  </si>
  <si>
    <t>1K64</t>
  </si>
  <si>
    <t>Kolfkamer</t>
  </si>
  <si>
    <t>1K67D</t>
  </si>
  <si>
    <t>Toiletruimte D bij stemkamers</t>
  </si>
  <si>
    <t>1K67H</t>
  </si>
  <si>
    <t>Toiletruimte H bij stemkamers</t>
  </si>
  <si>
    <t>1K69</t>
  </si>
  <si>
    <t>Studio 2 DNO</t>
  </si>
  <si>
    <t>1K74</t>
  </si>
  <si>
    <t>Noodtrap achterhuis li - geel</t>
  </si>
  <si>
    <t>1K75</t>
  </si>
  <si>
    <t>Noodtrap 2e balkon li</t>
  </si>
  <si>
    <t>1K76</t>
  </si>
  <si>
    <t>Noodtrap 1e balkon li</t>
  </si>
  <si>
    <t>1K77</t>
  </si>
  <si>
    <t>Vluchtgang naar Amstelzijde</t>
  </si>
  <si>
    <t>1K78</t>
  </si>
  <si>
    <t>Souterrain portaal</t>
  </si>
  <si>
    <t>1K79</t>
  </si>
  <si>
    <t>Souterrain entree</t>
  </si>
  <si>
    <t>marmer</t>
  </si>
  <si>
    <t>1K80</t>
  </si>
  <si>
    <t>Voorgebouw verblijf medewerkers</t>
  </si>
  <si>
    <t>1K80A</t>
  </si>
  <si>
    <t>1K80D</t>
  </si>
  <si>
    <t>Voorgebouw toiletruimte D</t>
  </si>
  <si>
    <t>1K80H</t>
  </si>
  <si>
    <t>Voorgebouw toiletruimte H</t>
  </si>
  <si>
    <t>1K81A</t>
  </si>
  <si>
    <t>Voorgebouw kleedruimte medewerkers</t>
  </si>
  <si>
    <t>1K81B</t>
  </si>
  <si>
    <t>1K82D</t>
  </si>
  <si>
    <t>Toiletruimte D artfo</t>
  </si>
  <si>
    <t>1K82H</t>
  </si>
  <si>
    <t>Toiletruimte H artfo</t>
  </si>
  <si>
    <t>1K83A</t>
  </si>
  <si>
    <t>Souterrain sluis naar toneel</t>
  </si>
  <si>
    <t>1K83D</t>
  </si>
  <si>
    <t>Souterrain kleedruimte</t>
  </si>
  <si>
    <t>1K88</t>
  </si>
  <si>
    <t>1K88A</t>
  </si>
  <si>
    <t>Fietsenstalling loge</t>
  </si>
  <si>
    <t>1K91</t>
  </si>
  <si>
    <t>Portaal bij lift 13</t>
  </si>
  <si>
    <t>1K92A</t>
  </si>
  <si>
    <t>Orkestbakmedewerkers kantoor</t>
  </si>
  <si>
    <t>1K94</t>
  </si>
  <si>
    <t>Orkestomloop buitenring</t>
  </si>
  <si>
    <t>1K95A</t>
  </si>
  <si>
    <t>Doucheruimte dirigent</t>
  </si>
  <si>
    <t>1K96</t>
  </si>
  <si>
    <t>Orkestomloop binnenring</t>
  </si>
  <si>
    <t>-2</t>
  </si>
  <si>
    <t>2K01</t>
  </si>
  <si>
    <t>Gang bij toiletten</t>
  </si>
  <si>
    <t>2K02</t>
  </si>
  <si>
    <t>Studio 5 HNB</t>
  </si>
  <si>
    <t>hout</t>
  </si>
  <si>
    <t>2K03D</t>
  </si>
  <si>
    <t>Toiletruimte D</t>
  </si>
  <si>
    <t>2K03H</t>
  </si>
  <si>
    <t>Toiletruimte H</t>
  </si>
  <si>
    <t>2K04</t>
  </si>
  <si>
    <t>Studio 7 DNO - sluis</t>
  </si>
  <si>
    <t>2K06</t>
  </si>
  <si>
    <t>Studio 7 DNO</t>
  </si>
  <si>
    <t>2K08</t>
  </si>
  <si>
    <t>Facilitair &amp; gebouw werkplaats</t>
  </si>
  <si>
    <t>2K10</t>
  </si>
  <si>
    <t>OR koorcommissie</t>
  </si>
  <si>
    <t>tapijt</t>
  </si>
  <si>
    <t>2K12</t>
  </si>
  <si>
    <t>Balletorkest (Het) kleedruimte</t>
  </si>
  <si>
    <t>2K21</t>
  </si>
  <si>
    <t>Gang bij lift 15 &amp; 16</t>
  </si>
  <si>
    <t>2K30</t>
  </si>
  <si>
    <t>Studio 9 DNO</t>
  </si>
  <si>
    <t>2K32D</t>
  </si>
  <si>
    <t>Horeca Kleedruimte D</t>
  </si>
  <si>
    <t>2K32H</t>
  </si>
  <si>
    <t>Horeca kleedruimte H</t>
  </si>
  <si>
    <t>2K35</t>
  </si>
  <si>
    <t>Studio 4 HNB - sluis</t>
  </si>
  <si>
    <t>2K55</t>
  </si>
  <si>
    <t>Trappenhuis achter HNBstudio 4</t>
  </si>
  <si>
    <t>2K80</t>
  </si>
  <si>
    <t>00</t>
  </si>
  <si>
    <t>Gang bij solistenkleedkamers</t>
  </si>
  <si>
    <t>002</t>
  </si>
  <si>
    <t>Kleedkamer 1</t>
  </si>
  <si>
    <t>003D</t>
  </si>
  <si>
    <t>003H</t>
  </si>
  <si>
    <t>005G</t>
  </si>
  <si>
    <t>Doucheruimte - solistengang</t>
  </si>
  <si>
    <t>006</t>
  </si>
  <si>
    <t>Kleedkamer 3</t>
  </si>
  <si>
    <t>007</t>
  </si>
  <si>
    <t>Was- en droogruimte - solistengang</t>
  </si>
  <si>
    <t>008</t>
  </si>
  <si>
    <t>Kleedkamer 4</t>
  </si>
  <si>
    <t>009</t>
  </si>
  <si>
    <t>Werkkast - solistengang</t>
  </si>
  <si>
    <t>010</t>
  </si>
  <si>
    <t>011</t>
  </si>
  <si>
    <t>Trap naar 1e kelder</t>
  </si>
  <si>
    <t>012</t>
  </si>
  <si>
    <t>Kleedkamers ruimte kleedsters</t>
  </si>
  <si>
    <t>013</t>
  </si>
  <si>
    <t>Gang naar achter- en zijtoneel</t>
  </si>
  <si>
    <t>014</t>
  </si>
  <si>
    <t>Kleedkamer 5</t>
  </si>
  <si>
    <t>016</t>
  </si>
  <si>
    <t>Kleedkamer 6</t>
  </si>
  <si>
    <t>017</t>
  </si>
  <si>
    <t>Toiletruimte receptie</t>
  </si>
  <si>
    <t>017i</t>
  </si>
  <si>
    <t>Toiletruimte invaliden</t>
  </si>
  <si>
    <t>018</t>
  </si>
  <si>
    <t>Kleedkamer 7</t>
  </si>
  <si>
    <t>020</t>
  </si>
  <si>
    <t>Kleedkamer 8</t>
  </si>
  <si>
    <t>021</t>
  </si>
  <si>
    <t>Receptie artiesteningang</t>
  </si>
  <si>
    <t>droogloopmat</t>
  </si>
  <si>
    <t>022</t>
  </si>
  <si>
    <t>Kleedkamer 9</t>
  </si>
  <si>
    <t>023</t>
  </si>
  <si>
    <t>Receptie ontvangsthal</t>
  </si>
  <si>
    <t>023A</t>
  </si>
  <si>
    <t>024</t>
  </si>
  <si>
    <t>Kleedkamer 10</t>
  </si>
  <si>
    <t>028</t>
  </si>
  <si>
    <t>Receptie NO&amp;B</t>
  </si>
  <si>
    <t>031</t>
  </si>
  <si>
    <t>054</t>
  </si>
  <si>
    <t>074</t>
  </si>
  <si>
    <t>Noodtrap achterhuis li geel</t>
  </si>
  <si>
    <t>075</t>
  </si>
  <si>
    <t>076</t>
  </si>
  <si>
    <t>077</t>
  </si>
  <si>
    <t>Noodtrap zaal li</t>
  </si>
  <si>
    <t>079C</t>
  </si>
  <si>
    <t>Publieksbegeleiding kantoor</t>
  </si>
  <si>
    <t>079D</t>
  </si>
  <si>
    <t>Horeca kantoor manager</t>
  </si>
  <si>
    <t>081</t>
  </si>
  <si>
    <t>Artfo portaal bij lift 13</t>
  </si>
  <si>
    <t>083T</t>
  </si>
  <si>
    <t>Toiletruimte Artfo portaal</t>
  </si>
  <si>
    <t>087</t>
  </si>
  <si>
    <t>Artfo horeca kantoor</t>
  </si>
  <si>
    <t>088</t>
  </si>
  <si>
    <t>Artfo leveranciersingagng</t>
  </si>
  <si>
    <t>088A</t>
  </si>
  <si>
    <t>Artfo horeca containerruimte</t>
  </si>
  <si>
    <t>092</t>
  </si>
  <si>
    <t>093</t>
  </si>
  <si>
    <t>Noodtrap achterhuis re groen</t>
  </si>
  <si>
    <t>L</t>
  </si>
  <si>
    <t>Lift Plateau portier invalide heffer (ar</t>
  </si>
  <si>
    <t>traanplaat</t>
  </si>
  <si>
    <t>L12</t>
  </si>
  <si>
    <t>Lift 12 service</t>
  </si>
  <si>
    <t>L13</t>
  </si>
  <si>
    <t>Lift 13 restaurant</t>
  </si>
  <si>
    <t>L14</t>
  </si>
  <si>
    <t>Lift 14 grote portier</t>
  </si>
  <si>
    <t>L15</t>
  </si>
  <si>
    <t>Lift 15 kleine portier</t>
  </si>
  <si>
    <t>L16</t>
  </si>
  <si>
    <t>Lift 16 pianolift</t>
  </si>
  <si>
    <t>L17</t>
  </si>
  <si>
    <t>Lift 17 toneellift</t>
  </si>
  <si>
    <t>01</t>
  </si>
  <si>
    <t>101</t>
  </si>
  <si>
    <t>Gang bij balletstudio 1</t>
  </si>
  <si>
    <t>102</t>
  </si>
  <si>
    <t>Studio 1 HNB</t>
  </si>
  <si>
    <t>sportvloer</t>
  </si>
  <si>
    <t>105</t>
  </si>
  <si>
    <t>Gang bij lift 14 &amp; 15</t>
  </si>
  <si>
    <t>106</t>
  </si>
  <si>
    <t>HNB fitnessruimte</t>
  </si>
  <si>
    <t>108</t>
  </si>
  <si>
    <t>HNB greenroom</t>
  </si>
  <si>
    <t>108A</t>
  </si>
  <si>
    <t>HNB massageruimte HNB</t>
  </si>
  <si>
    <t>110</t>
  </si>
  <si>
    <t>HNB kleedruimte D</t>
  </si>
  <si>
    <t>110T</t>
  </si>
  <si>
    <t>Toiletruimte D HNB</t>
  </si>
  <si>
    <t>114</t>
  </si>
  <si>
    <t>Doucheruimte D dansers</t>
  </si>
  <si>
    <t>118G</t>
  </si>
  <si>
    <t>Toiletruimte D t.o. lift 14/15</t>
  </si>
  <si>
    <t>120G</t>
  </si>
  <si>
    <t>Toiletruimte H t.o. lift 14/15</t>
  </si>
  <si>
    <t>122</t>
  </si>
  <si>
    <t>HNB kleedruimte H</t>
  </si>
  <si>
    <t>122T</t>
  </si>
  <si>
    <t>Toiletruimte H HNB</t>
  </si>
  <si>
    <t>124</t>
  </si>
  <si>
    <t>Doucheruimte H dansers</t>
  </si>
  <si>
    <t>131</t>
  </si>
  <si>
    <t>Trappenhuis  roze</t>
  </si>
  <si>
    <t>133</t>
  </si>
  <si>
    <t>HNB Muzikale staf</t>
  </si>
  <si>
    <t>135</t>
  </si>
  <si>
    <t>HNB muzikale staf</t>
  </si>
  <si>
    <t>139</t>
  </si>
  <si>
    <t>142</t>
  </si>
  <si>
    <t>Techniek kantoor operators BD</t>
  </si>
  <si>
    <t>142A</t>
  </si>
  <si>
    <t>Techniek chef-werkplaats BD</t>
  </si>
  <si>
    <t>143</t>
  </si>
  <si>
    <t>Techniek vergaderruimte</t>
  </si>
  <si>
    <t>144</t>
  </si>
  <si>
    <t>Techniek kantoor adj hoofd TT/BD</t>
  </si>
  <si>
    <t>145</t>
  </si>
  <si>
    <t>Techniek kleedruimte H</t>
  </si>
  <si>
    <t>146</t>
  </si>
  <si>
    <t>Techniek tekenkamer TD/BD</t>
  </si>
  <si>
    <t>147G</t>
  </si>
  <si>
    <t>148</t>
  </si>
  <si>
    <t>Techniek kantoor TT/BD</t>
  </si>
  <si>
    <t>149D</t>
  </si>
  <si>
    <t>Douche- en toiletruimte D techniek</t>
  </si>
  <si>
    <t>149H</t>
  </si>
  <si>
    <t>Douche- en toiletruimte H techniek</t>
  </si>
  <si>
    <t>150</t>
  </si>
  <si>
    <t>Kantine techniek</t>
  </si>
  <si>
    <t>151</t>
  </si>
  <si>
    <t>156</t>
  </si>
  <si>
    <t>Techniek kantoor hfd+ass TT/BD</t>
  </si>
  <si>
    <t>157</t>
  </si>
  <si>
    <t>Techniek kleedruimte techniek D&amp;H</t>
  </si>
  <si>
    <t>158</t>
  </si>
  <si>
    <t>Techniek kantoor adj dir</t>
  </si>
  <si>
    <t>159</t>
  </si>
  <si>
    <t>Gang bij AVM</t>
  </si>
  <si>
    <t>160</t>
  </si>
  <si>
    <t>Techniek kantoor MST</t>
  </si>
  <si>
    <t>161</t>
  </si>
  <si>
    <t>AVM Studio B</t>
  </si>
  <si>
    <t>hout parket</t>
  </si>
  <si>
    <t>162</t>
  </si>
  <si>
    <t>Techniek kantoor directeur</t>
  </si>
  <si>
    <t>163</t>
  </si>
  <si>
    <t>AVM Studio A</t>
  </si>
  <si>
    <t>pvc laminaat</t>
  </si>
  <si>
    <t>164</t>
  </si>
  <si>
    <t>AVM kantoor hoofd</t>
  </si>
  <si>
    <t>165A</t>
  </si>
  <si>
    <t>AVM studio D</t>
  </si>
  <si>
    <t>165B</t>
  </si>
  <si>
    <t>AVM studio E</t>
  </si>
  <si>
    <t>166</t>
  </si>
  <si>
    <t>AVM medewerkers</t>
  </si>
  <si>
    <t>167</t>
  </si>
  <si>
    <t>AVM studio C</t>
  </si>
  <si>
    <t>168</t>
  </si>
  <si>
    <t>Productie- en voorstellingsleiding</t>
  </si>
  <si>
    <t>169</t>
  </si>
  <si>
    <t>AVM Studio C spreekcel</t>
  </si>
  <si>
    <t>173</t>
  </si>
  <si>
    <t>Gang naar entresol</t>
  </si>
  <si>
    <t>174</t>
  </si>
  <si>
    <t>175</t>
  </si>
  <si>
    <t>176</t>
  </si>
  <si>
    <t>177</t>
  </si>
  <si>
    <t>Vluchtgang zaal li</t>
  </si>
  <si>
    <t>179C</t>
  </si>
  <si>
    <t>Schil - videocabine AVM</t>
  </si>
  <si>
    <t>179E</t>
  </si>
  <si>
    <t>Schil - laatkomers - gastencabine</t>
  </si>
  <si>
    <t>185</t>
  </si>
  <si>
    <t>Foyer dienkeuken zaal</t>
  </si>
  <si>
    <t>gietvloer</t>
  </si>
  <si>
    <t>191</t>
  </si>
  <si>
    <t>193</t>
  </si>
  <si>
    <t>Noodtrap achterhuis re- groen</t>
  </si>
  <si>
    <t>194</t>
  </si>
  <si>
    <t>Noodtrap 2e balkon re</t>
  </si>
  <si>
    <t>202</t>
  </si>
  <si>
    <t>Doucheruimte balletmeesters</t>
  </si>
  <si>
    <t>203</t>
  </si>
  <si>
    <t>Gang bij kantoren HNB</t>
  </si>
  <si>
    <t>203a</t>
  </si>
  <si>
    <t>Doucheruimte balletmeesters portaal</t>
  </si>
  <si>
    <t>204</t>
  </si>
  <si>
    <t>HNB kantoor balletmeesters</t>
  </si>
  <si>
    <t>205</t>
  </si>
  <si>
    <t>HNB gastenruimte</t>
  </si>
  <si>
    <t>206</t>
  </si>
  <si>
    <t>HNB kantoor hoofd JC</t>
  </si>
  <si>
    <t>207</t>
  </si>
  <si>
    <t>208</t>
  </si>
  <si>
    <t>HNB kantoor staf</t>
  </si>
  <si>
    <t>209</t>
  </si>
  <si>
    <t>210</t>
  </si>
  <si>
    <t>HNB kantoor art. &amp; log.</t>
  </si>
  <si>
    <t>211</t>
  </si>
  <si>
    <t>HNB fysio kantoor</t>
  </si>
  <si>
    <t>212</t>
  </si>
  <si>
    <t>Muzikale staf HNB</t>
  </si>
  <si>
    <t>213</t>
  </si>
  <si>
    <t>Printerruimte</t>
  </si>
  <si>
    <t>214</t>
  </si>
  <si>
    <t>Balletorkest (Het) dirigent</t>
  </si>
  <si>
    <t>215</t>
  </si>
  <si>
    <t>Pantry</t>
  </si>
  <si>
    <t>216</t>
  </si>
  <si>
    <t>HNB kantoor vaste chor</t>
  </si>
  <si>
    <t>217</t>
  </si>
  <si>
    <t>HNB fysio apparaten</t>
  </si>
  <si>
    <t>218</t>
  </si>
  <si>
    <t>HNB rehab</t>
  </si>
  <si>
    <t>219</t>
  </si>
  <si>
    <t>HNB fysiotherapeuten</t>
  </si>
  <si>
    <t>220</t>
  </si>
  <si>
    <t>221D</t>
  </si>
  <si>
    <t>Toiletruimte D bij lift 14/15</t>
  </si>
  <si>
    <t>221H</t>
  </si>
  <si>
    <t>Toiletruimte H bij lift 14/15</t>
  </si>
  <si>
    <t>227</t>
  </si>
  <si>
    <t>HNB kantoor beeld &amp; geluid</t>
  </si>
  <si>
    <t>228</t>
  </si>
  <si>
    <t>Studio 3 HNB</t>
  </si>
  <si>
    <t>231</t>
  </si>
  <si>
    <t>233A</t>
  </si>
  <si>
    <t>HNB studio beeld &amp; geluid</t>
  </si>
  <si>
    <t>233B</t>
  </si>
  <si>
    <t>247H</t>
  </si>
  <si>
    <t>Toiletruimte H bij rekwisieten</t>
  </si>
  <si>
    <t>247K</t>
  </si>
  <si>
    <t>Rekwisieten kleedruimte</t>
  </si>
  <si>
    <t>249</t>
  </si>
  <si>
    <t>251</t>
  </si>
  <si>
    <t>256A</t>
  </si>
  <si>
    <t>Rekwisieten kantoor</t>
  </si>
  <si>
    <t>256B</t>
  </si>
  <si>
    <t>Rekwisieten vergader</t>
  </si>
  <si>
    <t>258</t>
  </si>
  <si>
    <t>Financiën kantoor salarisadmin</t>
  </si>
  <si>
    <t>259</t>
  </si>
  <si>
    <t>Gang bij financiën</t>
  </si>
  <si>
    <t>260</t>
  </si>
  <si>
    <t>Financiën kassier</t>
  </si>
  <si>
    <t>262</t>
  </si>
  <si>
    <t>Financiën kantoor medewerkers</t>
  </si>
  <si>
    <t>264</t>
  </si>
  <si>
    <t>Financiën kantoor directeur</t>
  </si>
  <si>
    <t>266</t>
  </si>
  <si>
    <t>268</t>
  </si>
  <si>
    <t>Financiën vergaderruimte</t>
  </si>
  <si>
    <t>274</t>
  </si>
  <si>
    <t>279C</t>
  </si>
  <si>
    <t>Foyer geluidscabine</t>
  </si>
  <si>
    <t>279D</t>
  </si>
  <si>
    <t>Foyer lichtcabine</t>
  </si>
  <si>
    <t>285</t>
  </si>
  <si>
    <t>Foyer dienkeuken 1e balkon</t>
  </si>
  <si>
    <t>293</t>
  </si>
  <si>
    <t>Noodtrap achterhuis re - groen</t>
  </si>
  <si>
    <t>03</t>
  </si>
  <si>
    <t>301</t>
  </si>
  <si>
    <t>Gang bij balletstudio 2</t>
  </si>
  <si>
    <t>302</t>
  </si>
  <si>
    <t>Studio 2 HNB</t>
  </si>
  <si>
    <t>304</t>
  </si>
  <si>
    <t>HNB kantoor directeur ballet</t>
  </si>
  <si>
    <t>304D</t>
  </si>
  <si>
    <t>HNB kantoor dir doucheruimte</t>
  </si>
  <si>
    <t>305</t>
  </si>
  <si>
    <t>Portaal bij trap</t>
  </si>
  <si>
    <t>305A</t>
  </si>
  <si>
    <t>Trap naar balletstudio 2</t>
  </si>
  <si>
    <t>306</t>
  </si>
  <si>
    <t>HNB directiesecretariaat</t>
  </si>
  <si>
    <t>307</t>
  </si>
  <si>
    <t>Vergaderruimte</t>
  </si>
  <si>
    <t>308</t>
  </si>
  <si>
    <t>HNB kantoor prod. &amp; plan.</t>
  </si>
  <si>
    <t>308A</t>
  </si>
  <si>
    <t>HNB kantoor zakelijk leider ballet</t>
  </si>
  <si>
    <t>309</t>
  </si>
  <si>
    <t>Flexplek</t>
  </si>
  <si>
    <t>310</t>
  </si>
  <si>
    <t>F&amp;R kantoor hoofd</t>
  </si>
  <si>
    <t>311</t>
  </si>
  <si>
    <t>EPP kantoor hoofd</t>
  </si>
  <si>
    <t>313</t>
  </si>
  <si>
    <t>EPP kantoor medewerkers</t>
  </si>
  <si>
    <t>314</t>
  </si>
  <si>
    <t>F&amp;R kantoor medewerkers</t>
  </si>
  <si>
    <t>315</t>
  </si>
  <si>
    <t>Pantry / printerruimte</t>
  </si>
  <si>
    <t>316</t>
  </si>
  <si>
    <t>316A</t>
  </si>
  <si>
    <t>318</t>
  </si>
  <si>
    <t>318A</t>
  </si>
  <si>
    <t>Flexplekken</t>
  </si>
  <si>
    <t>321</t>
  </si>
  <si>
    <t>323</t>
  </si>
  <si>
    <t>Gang bij EPP</t>
  </si>
  <si>
    <t>327D</t>
  </si>
  <si>
    <t>Toiletruimte D bij F&amp;R</t>
  </si>
  <si>
    <t>327H</t>
  </si>
  <si>
    <t>Toiletruimte H bij F&amp;R</t>
  </si>
  <si>
    <t>327I</t>
  </si>
  <si>
    <t>Toiletruimte miva bij F&amp;R</t>
  </si>
  <si>
    <t>331</t>
  </si>
  <si>
    <t>333</t>
  </si>
  <si>
    <t>Gang bij MCP</t>
  </si>
  <si>
    <t>333B</t>
  </si>
  <si>
    <t>Pantry bij MCP</t>
  </si>
  <si>
    <t>334</t>
  </si>
  <si>
    <t>Algemeen directeur</t>
  </si>
  <si>
    <t>335</t>
  </si>
  <si>
    <t>336</t>
  </si>
  <si>
    <t>Algemeen directeur secretariaat</t>
  </si>
  <si>
    <t>337</t>
  </si>
  <si>
    <t>H&amp;PB kantoor</t>
  </si>
  <si>
    <t>337A</t>
  </si>
  <si>
    <t>338</t>
  </si>
  <si>
    <t>MCP kantoor hoofd</t>
  </si>
  <si>
    <t>339</t>
  </si>
  <si>
    <t>MCP kantoor medewerkers</t>
  </si>
  <si>
    <t>340</t>
  </si>
  <si>
    <t>341</t>
  </si>
  <si>
    <t>HR kantoor medewerkers</t>
  </si>
  <si>
    <t>341A</t>
  </si>
  <si>
    <t>341B</t>
  </si>
  <si>
    <t>HR vergaderruimte</t>
  </si>
  <si>
    <t>342</t>
  </si>
  <si>
    <t>343</t>
  </si>
  <si>
    <t>344</t>
  </si>
  <si>
    <t>DNO kantoor dramaturgie</t>
  </si>
  <si>
    <t>344A</t>
  </si>
  <si>
    <t>DNO kantoor artistieke zaken</t>
  </si>
  <si>
    <t>345</t>
  </si>
  <si>
    <t>346</t>
  </si>
  <si>
    <t>DNO kantoor contracten</t>
  </si>
  <si>
    <t>347G</t>
  </si>
  <si>
    <t>Toiletruimte D t.o. lift 17</t>
  </si>
  <si>
    <t>Toiletruimte H t.o. lift 17</t>
  </si>
  <si>
    <t>348</t>
  </si>
  <si>
    <t>DNO kantoor secretariaat</t>
  </si>
  <si>
    <t>348A</t>
  </si>
  <si>
    <t>DNO kantoor directeur opera</t>
  </si>
  <si>
    <t>349</t>
  </si>
  <si>
    <t>Gang t.o. lift 17</t>
  </si>
  <si>
    <t>350</t>
  </si>
  <si>
    <t>DNO kantoor hfd art. zaken</t>
  </si>
  <si>
    <t>351</t>
  </si>
  <si>
    <t>352</t>
  </si>
  <si>
    <t>354</t>
  </si>
  <si>
    <t>356</t>
  </si>
  <si>
    <t>DNO kantoor zakelijk  leider opera</t>
  </si>
  <si>
    <t>356A</t>
  </si>
  <si>
    <t>DNO kantoor medewerkers planning</t>
  </si>
  <si>
    <t>358</t>
  </si>
  <si>
    <t>DNO kantoor Opera Studio</t>
  </si>
  <si>
    <t>359</t>
  </si>
  <si>
    <t>Gang bij muziekbibliotheek</t>
  </si>
  <si>
    <t>359A</t>
  </si>
  <si>
    <t>Pantry bij I&amp;I</t>
  </si>
  <si>
    <t>360</t>
  </si>
  <si>
    <t>DNO kantoor koordirigent</t>
  </si>
  <si>
    <t>361</t>
  </si>
  <si>
    <t>I&amp;I medewerkers</t>
  </si>
  <si>
    <t>361A</t>
  </si>
  <si>
    <t>I&amp;I flexplek</t>
  </si>
  <si>
    <t>362</t>
  </si>
  <si>
    <t>DNO kantoor secretariaat koor</t>
  </si>
  <si>
    <t>362A</t>
  </si>
  <si>
    <t>DNO kantoor zakelijk leider koor</t>
  </si>
  <si>
    <t>363</t>
  </si>
  <si>
    <t>Muziekbibliotheek</t>
  </si>
  <si>
    <t>363A</t>
  </si>
  <si>
    <t>Archief muziekbibliotheek</t>
  </si>
  <si>
    <t>364</t>
  </si>
  <si>
    <t>Studio B Opera Studio</t>
  </si>
  <si>
    <t>365</t>
  </si>
  <si>
    <t>366</t>
  </si>
  <si>
    <t>Studio A Opera Studio</t>
  </si>
  <si>
    <t>367</t>
  </si>
  <si>
    <t>Studio 4 DNO</t>
  </si>
  <si>
    <t>368</t>
  </si>
  <si>
    <t>DNO repetitorenruimte</t>
  </si>
  <si>
    <t>369</t>
  </si>
  <si>
    <t>Studio 5 DNO</t>
  </si>
  <si>
    <t>371</t>
  </si>
  <si>
    <t>Studio 6 DNO</t>
  </si>
  <si>
    <t>374</t>
  </si>
  <si>
    <t>375</t>
  </si>
  <si>
    <t>385</t>
  </si>
  <si>
    <t>Foyer dienkeuken 2e balkon</t>
  </si>
  <si>
    <t>385A</t>
  </si>
  <si>
    <t>Foyer dienkeuken 2e balkon berging</t>
  </si>
  <si>
    <t>389</t>
  </si>
  <si>
    <t>Rustruimte Ballet</t>
  </si>
  <si>
    <t>391</t>
  </si>
  <si>
    <t>392</t>
  </si>
  <si>
    <t>04</t>
  </si>
  <si>
    <t>401</t>
  </si>
  <si>
    <t>Gang bij OTT &amp; FD</t>
  </si>
  <si>
    <t>402</t>
  </si>
  <si>
    <t>OTT werkplaats</t>
  </si>
  <si>
    <t>402A</t>
  </si>
  <si>
    <t>Facilitair &amp; gebouw kantoor</t>
  </si>
  <si>
    <t>403</t>
  </si>
  <si>
    <t>Atrium gang binnen</t>
  </si>
  <si>
    <t>403A</t>
  </si>
  <si>
    <t>Atrium sluis</t>
  </si>
  <si>
    <t>403B</t>
  </si>
  <si>
    <t>Atrium gang buiten</t>
  </si>
  <si>
    <t>grindtegels</t>
  </si>
  <si>
    <t>403C</t>
  </si>
  <si>
    <t>Atrium portaal</t>
  </si>
  <si>
    <t>405</t>
  </si>
  <si>
    <t>Atrium</t>
  </si>
  <si>
    <t>405A</t>
  </si>
  <si>
    <t>405B</t>
  </si>
  <si>
    <t>parket</t>
  </si>
  <si>
    <t>406</t>
  </si>
  <si>
    <t>KKG kostuumatelier HNB</t>
  </si>
  <si>
    <t>406B</t>
  </si>
  <si>
    <t>KKG paskamer HNB</t>
  </si>
  <si>
    <t>407</t>
  </si>
  <si>
    <t>KKG opslag stoffen HNB</t>
  </si>
  <si>
    <t>408</t>
  </si>
  <si>
    <t>KKG kantoor hoofd HNB</t>
  </si>
  <si>
    <t>409</t>
  </si>
  <si>
    <t>KKG wasserij HNB</t>
  </si>
  <si>
    <t>410</t>
  </si>
  <si>
    <t>KKG kantoor kostuums HNB</t>
  </si>
  <si>
    <t>412</t>
  </si>
  <si>
    <t>421</t>
  </si>
  <si>
    <t>421A</t>
  </si>
  <si>
    <t>Gang bij kostuumatelier HNB</t>
  </si>
  <si>
    <t>421B</t>
  </si>
  <si>
    <t>Gang bij kostuumatelier DNO</t>
  </si>
  <si>
    <t>422</t>
  </si>
  <si>
    <t>KKG atelier K&amp;G</t>
  </si>
  <si>
    <t>422A</t>
  </si>
  <si>
    <t>426</t>
  </si>
  <si>
    <t>KKG kantoor hoofd K&amp;G</t>
  </si>
  <si>
    <t>428</t>
  </si>
  <si>
    <t>430</t>
  </si>
  <si>
    <t>KKG kantoor hoofd DNO</t>
  </si>
  <si>
    <t>431</t>
  </si>
  <si>
    <t>Trappenhuis - roze</t>
  </si>
  <si>
    <t>432A</t>
  </si>
  <si>
    <t>KKG medewerkers DNO</t>
  </si>
  <si>
    <t>432B</t>
  </si>
  <si>
    <t>433D</t>
  </si>
  <si>
    <t>Toiletruimte dames bij KKG</t>
  </si>
  <si>
    <t>433H</t>
  </si>
  <si>
    <t>Toiletruimte heren bij KKG</t>
  </si>
  <si>
    <t>440</t>
  </si>
  <si>
    <t>KKG kostuumatelier DNO</t>
  </si>
  <si>
    <t>442</t>
  </si>
  <si>
    <t>Ververij / spuiterij</t>
  </si>
  <si>
    <t>442A</t>
  </si>
  <si>
    <t>KKG mengkamer</t>
  </si>
  <si>
    <t>447D</t>
  </si>
  <si>
    <t>Toiletruimte dames</t>
  </si>
  <si>
    <t>447H</t>
  </si>
  <si>
    <t>Toiletruimte heren</t>
  </si>
  <si>
    <t>448</t>
  </si>
  <si>
    <t>KKG ververij baden</t>
  </si>
  <si>
    <t>449</t>
  </si>
  <si>
    <t>Gang &amp; opslag kostuumatelier</t>
  </si>
  <si>
    <t>454</t>
  </si>
  <si>
    <t>Trappenhuis - blauw</t>
  </si>
  <si>
    <t>459</t>
  </si>
  <si>
    <t>Gang bij hoedenatelier</t>
  </si>
  <si>
    <t>459A</t>
  </si>
  <si>
    <t>460A</t>
  </si>
  <si>
    <t>KKG hoedenatelier</t>
  </si>
  <si>
    <t>460B</t>
  </si>
  <si>
    <t>460C</t>
  </si>
  <si>
    <t>461</t>
  </si>
  <si>
    <t>KKG wasserij DNO</t>
  </si>
  <si>
    <t>462</t>
  </si>
  <si>
    <t>Studio 1 DNO</t>
  </si>
  <si>
    <t>463</t>
  </si>
  <si>
    <t>KKG kantoor inkoop</t>
  </si>
  <si>
    <t>463D</t>
  </si>
  <si>
    <t>KKG DNO paskamer D</t>
  </si>
  <si>
    <t>463H</t>
  </si>
  <si>
    <t>KKG DNO paskamer H</t>
  </si>
  <si>
    <t>464</t>
  </si>
  <si>
    <t>Kassa abonnementen</t>
  </si>
  <si>
    <t>465</t>
  </si>
  <si>
    <t>KKG opslag stoffen DNO</t>
  </si>
  <si>
    <t>466</t>
  </si>
  <si>
    <t>KKG schoenenatelier DNO</t>
  </si>
  <si>
    <t>474</t>
  </si>
  <si>
    <t>Noodtrap achterhuis links - geel</t>
  </si>
  <si>
    <t>476</t>
  </si>
  <si>
    <t>Gang naar omloop</t>
  </si>
  <si>
    <t>477A</t>
  </si>
  <si>
    <t>Techniek kleurenkamer BD</t>
  </si>
  <si>
    <t>477P</t>
  </si>
  <si>
    <t>Portaal bij kleurenkamer</t>
  </si>
  <si>
    <t>480</t>
  </si>
  <si>
    <t>Gang bij trappenhuis - geel</t>
  </si>
  <si>
    <t>482</t>
  </si>
  <si>
    <t>Schil - bediening boventiteling</t>
  </si>
  <si>
    <t>482A</t>
  </si>
  <si>
    <t>482B</t>
  </si>
  <si>
    <t>Schil - boventitelprojector</t>
  </si>
  <si>
    <t>482D</t>
  </si>
  <si>
    <t>Schil - projectorruimte</t>
  </si>
  <si>
    <t>485</t>
  </si>
  <si>
    <t>Gang / Omloop</t>
  </si>
  <si>
    <t>491</t>
  </si>
  <si>
    <t>493</t>
  </si>
  <si>
    <t>Noodtrap achterhuis rechts - groen</t>
  </si>
  <si>
    <t>AR (Artfo)</t>
  </si>
  <si>
    <t>082</t>
  </si>
  <si>
    <t>Artfo spoelkeuken</t>
  </si>
  <si>
    <t>083</t>
  </si>
  <si>
    <t>Artiestenfoyer</t>
  </si>
  <si>
    <t>083A</t>
  </si>
  <si>
    <t>083B</t>
  </si>
  <si>
    <t>084</t>
  </si>
  <si>
    <t>Artfo keuken</t>
  </si>
  <si>
    <t>084A</t>
  </si>
  <si>
    <t>Artfo keuken toegang</t>
  </si>
  <si>
    <t>084M</t>
  </si>
  <si>
    <t>Artfo keuken opslag</t>
  </si>
  <si>
    <t>085</t>
  </si>
  <si>
    <t>Artfo vergaderruimte</t>
  </si>
  <si>
    <t>087A</t>
  </si>
  <si>
    <t>S (Studi Boekman)</t>
  </si>
  <si>
    <t>SB-00</t>
  </si>
  <si>
    <t>SBM wenteltrap voorfoyer</t>
  </si>
  <si>
    <t>SBM wenteltrap achtergedeelte</t>
  </si>
  <si>
    <t>SB-101</t>
  </si>
  <si>
    <t>Gang tussen omloop en intrasol</t>
  </si>
  <si>
    <t>SB-102</t>
  </si>
  <si>
    <t>Omloop</t>
  </si>
  <si>
    <t>SB-105</t>
  </si>
  <si>
    <t>Portaal naar omloop</t>
  </si>
  <si>
    <t>SB-106</t>
  </si>
  <si>
    <t>Intrasol</t>
  </si>
  <si>
    <t>T (Toneelgebied)</t>
  </si>
  <si>
    <t>L18</t>
  </si>
  <si>
    <t>Lift 18 takelzolder</t>
  </si>
  <si>
    <t>L21</t>
  </si>
  <si>
    <t>Lift 21 goederen magazijn</t>
  </si>
  <si>
    <t>V (Voorgebouw)</t>
  </si>
  <si>
    <t>1K83C</t>
  </si>
  <si>
    <t>Vluchtgang sluis vanaf Souterrain</t>
  </si>
  <si>
    <t>079N</t>
  </si>
  <si>
    <t>Nooduitgang Amstelzijde</t>
  </si>
  <si>
    <t>L11</t>
  </si>
  <si>
    <t>Lift 11 rotonde/gastenlift foyer</t>
  </si>
  <si>
    <t>L22</t>
  </si>
  <si>
    <t>Lift 22 MIVA Odeonzaal</t>
  </si>
  <si>
    <t>179D</t>
  </si>
  <si>
    <t>Schil regieruimte</t>
  </si>
  <si>
    <t>188</t>
  </si>
  <si>
    <t>Noodtrap 1e balkon re</t>
  </si>
  <si>
    <t>275</t>
  </si>
  <si>
    <t>276</t>
  </si>
  <si>
    <t>288</t>
  </si>
  <si>
    <t>294</t>
  </si>
  <si>
    <t>394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</si>
  <si>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</si>
  <si>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</si>
  <si>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</si>
  <si>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</si>
  <si>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</si>
  <si>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</si>
  <si>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</si>
  <si>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</si>
  <si>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</si>
  <si>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 001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</si>
  <si>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</si>
  <si>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</si>
  <si>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</si>
  <si>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</si>
  <si>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</si>
  <si>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</si>
  <si>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</si>
  <si>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</si>
  <si>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</si>
  <si>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</si>
  <si>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</si>
  <si>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</si>
  <si>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</si>
  <si>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</si>
  <si>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</si>
  <si>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Nationale Opera &amp; Ballet</t>
  </si>
  <si>
    <t>Waterlooplein 22</t>
  </si>
  <si>
    <t>Amsterdam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</si>
  <si>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</si>
  <si>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</si>
  <si>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</si>
  <si>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</si>
  <si>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</si>
  <si>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</si>
  <si>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</si>
  <si>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</si>
  <si>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</si>
  <si>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 (euro)</t>
  </si>
  <si>
    <t>PRIJS/ MAAND  (euro)</t>
  </si>
  <si>
    <t>1000</t>
  </si>
  <si>
    <t>Niet-meewerkende objectleiding</t>
  </si>
  <si>
    <t>&lt;invullen functie afh. van uren uitvoering per jaar&gt;</t>
  </si>
  <si>
    <t>&lt;invullen functie met vaste uren per dag&gt;</t>
  </si>
  <si>
    <t>Totaal 001 - Nationale Opera &amp; Ballet, Waterlooplein 22, Amsterdam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</si>
  <si>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</si>
  <si>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</si>
  <si>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</si>
  <si>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</si>
  <si>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</si>
  <si>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</si>
  <si>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</si>
  <si>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</si>
  <si>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</si>
  <si>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</si>
  <si>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</si>
  <si>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</si>
  <si>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</si>
  <si>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</si>
  <si>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</si>
  <si>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</si>
  <si>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9320A</t>
  </si>
  <si>
    <t>Stoffen bekleding gehele stoel reiningen &lt; 50  stuks</t>
  </si>
  <si>
    <t>prijs per stuk</t>
  </si>
  <si>
    <t>9320B</t>
  </si>
  <si>
    <t>Stoffen bekleding gehele stoel reiningen 50 &lt; 100 stuks</t>
  </si>
  <si>
    <t>9320C</t>
  </si>
  <si>
    <t>Stoffen bekleding gehele stoel reiningen 100 &lt; 175 stuks</t>
  </si>
  <si>
    <t>9320D</t>
  </si>
  <si>
    <t>Stoffen bekleding gehele stoel reiningen &gt;= 175 stuks</t>
  </si>
  <si>
    <t>9340A</t>
  </si>
  <si>
    <t>Stoffen bekleding zitting stoel reiningen &lt; 50 stuks</t>
  </si>
  <si>
    <t>9340B</t>
  </si>
  <si>
    <t>Stoffen bekleding zitting stoel reiningen 50 &lt; 100 stuks</t>
  </si>
  <si>
    <t>9340C</t>
  </si>
  <si>
    <t>Stoffen bekleding zitting stoel reiningen 100 &lt; 175 stuks</t>
  </si>
  <si>
    <t>9340D</t>
  </si>
  <si>
    <t>Stoffen bekleding zitting stoel reiningen &gt;= 175 stuks</t>
  </si>
  <si>
    <t>9350A</t>
  </si>
  <si>
    <t>Stoffen bekleding zaalstoel reiningen &lt; 200 stuks</t>
  </si>
  <si>
    <t>9350B</t>
  </si>
  <si>
    <t>Stoffen bekleding zaalstoel reiningen 200 &lt; 800 stuks</t>
  </si>
  <si>
    <t>9350C</t>
  </si>
  <si>
    <t>Stoffen bekleding zaalstoel reiningen 800 &lt; 1400 stuks</t>
  </si>
  <si>
    <t>9350D</t>
  </si>
  <si>
    <t>Stoffen bekleding zaalstoel reiningen &gt;= 1400 stuks</t>
  </si>
  <si>
    <t>9360A</t>
  </si>
  <si>
    <t>Stoffen bekleding bank reiningen &lt; 5 stuks</t>
  </si>
  <si>
    <t>9360B</t>
  </si>
  <si>
    <t>Stoffen bekleding bank reiningen 5  &lt; 10 stuks</t>
  </si>
  <si>
    <t>9360C</t>
  </si>
  <si>
    <t>Stoffen bekleding bank reiningen 10 &lt; 20 stuks</t>
  </si>
  <si>
    <t>9360D</t>
  </si>
  <si>
    <t>Stoffen bekleding bank reiningen &gt;= 20 stuks</t>
  </si>
  <si>
    <t>9370A</t>
  </si>
  <si>
    <t>Stoffen bekleding poef reiningen &lt; 10 stuks</t>
  </si>
  <si>
    <t>9370B</t>
  </si>
  <si>
    <t>Stoffen bekleding poef reiningen 10 &lt; 25 stuks</t>
  </si>
  <si>
    <t>9370C</t>
  </si>
  <si>
    <t>Stoffen bekleding poef reiningen 25 &lt; 50 stuks</t>
  </si>
  <si>
    <t>9370D</t>
  </si>
  <si>
    <t>Stoffen bekleding poef reiningen &gt;= 50 stuks</t>
  </si>
  <si>
    <t>9700</t>
  </si>
  <si>
    <t>Linoleum vloeren strippen/conserveren</t>
  </si>
  <si>
    <t>tijdsnorm in vloer m²/uur</t>
  </si>
  <si>
    <t>9710</t>
  </si>
  <si>
    <t>Tapijtvloeren dieptereinigen</t>
  </si>
  <si>
    <t>9720</t>
  </si>
  <si>
    <t>Houten vloeren oliën/waxen</t>
  </si>
  <si>
    <t>9730</t>
  </si>
  <si>
    <t>Kristaliseren van marmeren vloeren</t>
  </si>
  <si>
    <t>Totaal additioneel werk excl. BTW</t>
  </si>
  <si>
    <t>1001</t>
  </si>
  <si>
    <t>Beurt variabel Bureaukamer harde vloer</t>
  </si>
  <si>
    <t>1002</t>
  </si>
  <si>
    <t>Beurt variabel Bureaukamer zachte vloer</t>
  </si>
  <si>
    <t>1010</t>
  </si>
  <si>
    <t>Beurt variabel Sanitair harde vloer</t>
  </si>
  <si>
    <t>1015</t>
  </si>
  <si>
    <t>Beurt variabel Kleedruimte harde vloer</t>
  </si>
  <si>
    <t>1020</t>
  </si>
  <si>
    <t>Beurt variabel Concert-/theaterzaal harde vloer</t>
  </si>
  <si>
    <t>1021</t>
  </si>
  <si>
    <t>Beurt variabel Concert-/theaterzaal zachte vloer</t>
  </si>
  <si>
    <t>1030</t>
  </si>
  <si>
    <t>Beurt variabel Entree harde vloer</t>
  </si>
  <si>
    <t>1031</t>
  </si>
  <si>
    <t>Beurt variabel Entree zachte vloer</t>
  </si>
  <si>
    <t>1035</t>
  </si>
  <si>
    <t>Beurt variabel Pantry harde vloer</t>
  </si>
  <si>
    <t>1037</t>
  </si>
  <si>
    <t>Beurt variabel Restauratieve ruimte harde vloer</t>
  </si>
  <si>
    <t>1040</t>
  </si>
  <si>
    <t>Beurt variabel Lift harde vloer</t>
  </si>
  <si>
    <t>1050</t>
  </si>
  <si>
    <t>Beurt variabel verkeersruimte harde vloer</t>
  </si>
  <si>
    <t>1051</t>
  </si>
  <si>
    <t>Beurt variabel verkeersruimte zachte vloer</t>
  </si>
  <si>
    <t>1061</t>
  </si>
  <si>
    <t>Beurt variabel trappenhuis zachte vloer</t>
  </si>
  <si>
    <t>1150</t>
  </si>
  <si>
    <t>Beurt variabel plus</t>
  </si>
  <si>
    <t>prijs per uur</t>
  </si>
  <si>
    <t>9310</t>
  </si>
  <si>
    <t>240 en 660 liter containers legen</t>
  </si>
  <si>
    <t xml:space="preserve">FEESTDAG            </t>
  </si>
  <si>
    <t>F1002</t>
  </si>
  <si>
    <t>F1005</t>
  </si>
  <si>
    <t>Beurt variabel Receptie harde vloer</t>
  </si>
  <si>
    <t>F1006</t>
  </si>
  <si>
    <t>Beurt variabel Receptie zachte vloer</t>
  </si>
  <si>
    <t>F1010</t>
  </si>
  <si>
    <t>F1012</t>
  </si>
  <si>
    <t>Beurt variabel Doucheruimte harde vloer</t>
  </si>
  <si>
    <t>F1015</t>
  </si>
  <si>
    <t>F1016</t>
  </si>
  <si>
    <t>Beurt variabel Kleedruimte zachte vloer</t>
  </si>
  <si>
    <t>F1020</t>
  </si>
  <si>
    <t>F1021</t>
  </si>
  <si>
    <t>F1023</t>
  </si>
  <si>
    <t>Beurt variabel Studio harde vloer</t>
  </si>
  <si>
    <t>F1030</t>
  </si>
  <si>
    <t>F1031</t>
  </si>
  <si>
    <t>F1035</t>
  </si>
  <si>
    <t>F1037</t>
  </si>
  <si>
    <t>F1038</t>
  </si>
  <si>
    <t>Beurt variabel Restauratieve ruimte zachte vloer</t>
  </si>
  <si>
    <t>F1040</t>
  </si>
  <si>
    <t>F1050</t>
  </si>
  <si>
    <t>F1051</t>
  </si>
  <si>
    <t>F1061</t>
  </si>
  <si>
    <t>F1150</t>
  </si>
  <si>
    <t>F2001</t>
  </si>
  <si>
    <t>Vloer dagelijks onderhoud</t>
  </si>
  <si>
    <t xml:space="preserve">Totaal feestdag            </t>
  </si>
  <si>
    <t xml:space="preserve">WEEKENDDAG          </t>
  </si>
  <si>
    <t>W1002</t>
  </si>
  <si>
    <t>W1005</t>
  </si>
  <si>
    <t>W1006</t>
  </si>
  <si>
    <t>W1010</t>
  </si>
  <si>
    <t>W1012</t>
  </si>
  <si>
    <t>W1015</t>
  </si>
  <si>
    <t>W1016</t>
  </si>
  <si>
    <t>W1020</t>
  </si>
  <si>
    <t>W1021</t>
  </si>
  <si>
    <t>W1023</t>
  </si>
  <si>
    <t>W1030</t>
  </si>
  <si>
    <t>W1031</t>
  </si>
  <si>
    <t>W1035</t>
  </si>
  <si>
    <t>W1037</t>
  </si>
  <si>
    <t>W1038</t>
  </si>
  <si>
    <t>W1040</t>
  </si>
  <si>
    <t>W1050</t>
  </si>
  <si>
    <t>W1051</t>
  </si>
  <si>
    <t>W1061</t>
  </si>
  <si>
    <t>W1150</t>
  </si>
  <si>
    <t>W2007</t>
  </si>
  <si>
    <t xml:space="preserve">Totaal weekenddag          </t>
  </si>
  <si>
    <t>Totaal afroep excl. BTW</t>
  </si>
  <si>
    <t>STAFFEL</t>
  </si>
  <si>
    <t>2000A</t>
  </si>
  <si>
    <t>Systeemkast/monitor reinigen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</si>
  <si>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</si>
  <si>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</si>
  <si>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</si>
  <si>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</si>
  <si>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</si>
  <si>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</si>
  <si>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</si>
  <si>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</si>
  <si>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</si>
  <si>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</si>
  <si>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</si>
  <si>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</si>
  <si>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</si>
  <si>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</si>
  <si>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</si>
  <si>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</si>
  <si>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</si>
  <si>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</si>
  <si>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</si>
  <si>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</si>
  <si>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</si>
  <si>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</si>
  <si>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</si>
  <si>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</si>
  <si>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</si>
  <si>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</si>
  <si>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</si>
  <si>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</si>
  <si>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</si>
  <si>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</si>
  <si>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</si>
  <si>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</si>
  <si>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</si>
  <si>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</si>
  <si>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</si>
  <si>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</si>
  <si>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</si>
  <si>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</si>
  <si>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</si>
  <si>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</si>
  <si>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</si>
  <si>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</si>
  <si>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</si>
  <si>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</si>
  <si>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</si>
  <si>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</si>
  <si>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</si>
  <si>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</si>
  <si>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</si>
  <si>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</si>
  <si>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</si>
  <si>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</si>
  <si>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</si>
  <si>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</si>
  <si>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</si>
  <si>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</si>
  <si>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</si>
  <si>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</si>
  <si>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</si>
  <si>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</si>
  <si>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</si>
  <si>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</si>
  <si>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</si>
  <si>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</si>
  <si>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</si>
  <si>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</si>
  <si>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</si>
  <si>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</si>
  <si>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</si>
  <si>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</si>
  <si>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</si>
  <si>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</si>
  <si>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sprayen/opwrijven</t>
  </si>
  <si>
    <t>4020B</t>
  </si>
  <si>
    <t>4020C</t>
  </si>
  <si>
    <t>4020D</t>
  </si>
  <si>
    <t>4030A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</si>
  <si>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</si>
  <si>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</si>
  <si>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</si>
  <si>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</si>
  <si>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</si>
  <si>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</si>
  <si>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</si>
  <si>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</si>
  <si>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</si>
  <si>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koolzuurbasis</t>
  </si>
  <si>
    <t>4050B</t>
  </si>
  <si>
    <t>4050C</t>
  </si>
  <si>
    <t>4050D</t>
  </si>
  <si>
    <t>4060A</t>
  </si>
  <si>
    <t>Tapijt reinigen sproei-/extractiemethode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</si>
  <si>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</si>
  <si>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</si>
  <si>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</si>
  <si>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</si>
  <si>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</si>
  <si>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</si>
  <si>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</si>
  <si>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</si>
  <si>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</si>
  <si>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</si>
  <si>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</si>
  <si>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</si>
  <si>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</si>
  <si>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</si>
  <si>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</si>
  <si>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</si>
  <si>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</si>
  <si>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</si>
  <si>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</si>
  <si>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</si>
  <si>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</si>
  <si>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</si>
  <si>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regiewerkzaamheden (specialistisch)</t>
  </si>
  <si>
    <t>9200</t>
  </si>
  <si>
    <t>Medewerker graffiti verwijdering (specialistisch)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</si>
  <si>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</si>
  <si>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</si>
  <si>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</si>
  <si>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</si>
  <si>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</si>
  <si>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</si>
  <si>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(m² is totaal)</t>
  </si>
  <si>
    <t>8030</t>
  </si>
  <si>
    <t>Posterpaneel (m² is totaal)</t>
  </si>
  <si>
    <t>8040</t>
  </si>
  <si>
    <t>Spiegelwanden studio's (m² is totaal)</t>
  </si>
  <si>
    <t>8110</t>
  </si>
  <si>
    <t>Inzet hoogwerker</t>
  </si>
  <si>
    <t>totaalprijs</t>
  </si>
  <si>
    <t>8310</t>
  </si>
  <si>
    <t>Inzet tuckerpole</t>
  </si>
  <si>
    <t>8400</t>
  </si>
  <si>
    <t>Zonwering reinigen</t>
  </si>
  <si>
    <t>8410</t>
  </si>
  <si>
    <t>Gevel-paneel reinigen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</si>
  <si>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</si>
  <si>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</si>
  <si>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</si>
  <si>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</si>
  <si>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</si>
  <si>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</si>
  <si>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</si>
  <si>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 xml:space="preserve">Regulier werk </t>
  </si>
  <si>
    <t xml:space="preserve">Objectleiding </t>
  </si>
  <si>
    <t>Additioneel werk</t>
  </si>
  <si>
    <t>Afroepwerk (geschatte frequenties)</t>
  </si>
  <si>
    <t>Regie (geschat)</t>
  </si>
  <si>
    <t>Glas</t>
  </si>
  <si>
    <t>Totaal generaal</t>
  </si>
  <si>
    <t>Percentage objectleiding</t>
  </si>
  <si>
    <t>BEGROOT BEDRAG REGULIERE WERKZAAMHEDEN EN AFROEP (GESCHATTE FREQUENTIE)  (NIET HOGER DAN BUDGET)</t>
  </si>
  <si>
    <t>VERGELIJKINGSBEDRAG ADITIONEEL/REGIE/GLASBEWSSINGSWERK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</si>
</sst>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0" tint="-0.34998626667073579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165" fontId="0" fillId="0" borderId="15" xfId="0" applyNumberFormat="1" applyBorder="1" applyProtection="1">
      <protection locked="0"/>
    </xf>
    <xf numFmtId="4" fontId="0" fillId="2" borderId="16" xfId="0" applyNumberFormat="1" applyFill="1" applyBorder="1"/>
    <xf numFmtId="165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0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0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22" xfId="0" applyFill="1" applyBorder="1"/>
    <xf numFmtId="49" fontId="0" fillId="3" borderId="22" xfId="0" applyNumberFormat="1" applyFill="1" applyBorder="1"/>
    <xf numFmtId="10" fontId="0" fillId="2" borderId="16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/>
    <xf numFmtId="4" fontId="0" fillId="3" borderId="14" xfId="0" applyNumberFormat="1" applyFill="1" applyBorder="1" applyProtection="1"/>
    <xf numFmtId="4" fontId="0" fillId="4" borderId="15" xfId="0" applyNumberFormat="1" applyFill="1" applyBorder="1"/>
    <xf numFmtId="4" fontId="0" fillId="3" borderId="15" xfId="0" applyNumberFormat="1" applyFill="1" applyBorder="1" applyProtection="1"/>
    <xf numFmtId="164" fontId="0" fillId="3" borderId="15" xfId="0" applyNumberFormat="1" applyFill="1" applyBorder="1" applyProtection="1"/>
    <xf numFmtId="4" fontId="0" fillId="4" borderId="16" xfId="0" applyNumberFormat="1" applyFill="1" applyBorder="1"/>
    <xf numFmtId="164" fontId="0" fillId="3" borderId="16" xfId="0" applyNumberFormat="1" applyFill="1" applyBorder="1" applyProtection="1"/>
    <xf numFmtId="164" fontId="0" fillId="3" borderId="12" xfId="0" applyNumberFormat="1" applyFill="1" applyBorder="1"/>
    <xf numFmtId="164" fontId="0" fillId="3" borderId="14" xfId="0" applyNumberFormat="1" applyFill="1" applyBorder="1" applyProtection="1"/>
    <xf numFmtId="4" fontId="0" fillId="3" borderId="16" xfId="0" applyNumberFormat="1" applyFill="1" applyBorder="1" applyProtection="1"/>
    <xf numFmtId="4" fontId="0" fillId="0" borderId="15" xfId="0" applyNumberFormat="1" applyBorder="1"/>
    <xf numFmtId="0" fontId="0" fillId="3" borderId="12" xfId="0" applyFill="1" applyBorder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3" fillId="5" borderId="20" xfId="1" applyFont="1" applyFill="1" applyBorder="1"/>
    <xf numFmtId="0" fontId="4" fillId="5" borderId="20" xfId="1" applyFont="1" applyFill="1" applyBorder="1"/>
    <xf numFmtId="164" fontId="3" fillId="6" borderId="20" xfId="1" applyNumberFormat="1" applyFont="1" applyFill="1" applyBorder="1"/>
    <xf numFmtId="0" fontId="3" fillId="7" borderId="20" xfId="1" applyFont="1" applyFill="1" applyBorder="1"/>
  </cellXfs>
  <cellStyles count="2">
    <cellStyle name="Standaard" xfId="0" builtinId="0"/>
    <cellStyle name="Standaard 2" xfId="1" xr:uid="{F808E6A3-76FA-4A14-9071-061B7C497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6AC0-1EE4-4754-BF26-15AD453679DD}">
  <dimension ref="A1:B36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36" si="0">IF(A13="2½W",2.5/dagenperweek1,IF(RIGHT(A13,1)="W",VALUE(LEFT(A13,LEN(A13)-1))/dagenperweek1,IF(RIGHT(A13,1)="J",VALUE(LEFT(A13,LEN(A13)-1))/dagenperjaar1,"handmatig!")))</f>
        <v>1.803921568627451</v>
      </c>
    </row>
    <row r="14" spans="1:2" x14ac:dyDescent="0.2">
      <c r="A14" s="2" t="s">
        <v>10</v>
      </c>
      <c r="B14" s="3">
        <f t="shared" si="0"/>
        <v>1</v>
      </c>
    </row>
    <row r="15" spans="1:2" x14ac:dyDescent="0.2">
      <c r="A15" s="2" t="s">
        <v>11</v>
      </c>
      <c r="B15" s="3">
        <f t="shared" si="0"/>
        <v>1</v>
      </c>
    </row>
    <row r="16" spans="1:2" x14ac:dyDescent="0.2">
      <c r="A16" s="2" t="s">
        <v>12</v>
      </c>
      <c r="B16" s="3">
        <f t="shared" si="0"/>
        <v>0.90196078431372551</v>
      </c>
    </row>
    <row r="17" spans="1:2" x14ac:dyDescent="0.2">
      <c r="A17" s="2" t="s">
        <v>13</v>
      </c>
      <c r="B17" s="3">
        <f t="shared" si="0"/>
        <v>0.8</v>
      </c>
    </row>
    <row r="18" spans="1:2" x14ac:dyDescent="0.2">
      <c r="A18" s="2" t="s">
        <v>14</v>
      </c>
      <c r="B18" s="3">
        <f t="shared" si="0"/>
        <v>0.6</v>
      </c>
    </row>
    <row r="19" spans="1:2" x14ac:dyDescent="0.2">
      <c r="A19" s="2" t="s">
        <v>15</v>
      </c>
      <c r="B19" s="3">
        <f t="shared" si="0"/>
        <v>0.54117647058823526</v>
      </c>
    </row>
    <row r="20" spans="1:2" x14ac:dyDescent="0.2">
      <c r="A20" s="2" t="s">
        <v>16</v>
      </c>
      <c r="B20" s="3">
        <f t="shared" si="0"/>
        <v>0.49803921568627452</v>
      </c>
    </row>
    <row r="21" spans="1:2" x14ac:dyDescent="0.2">
      <c r="A21" s="2" t="s">
        <v>17</v>
      </c>
      <c r="B21" s="3">
        <f t="shared" si="0"/>
        <v>0.45098039215686275</v>
      </c>
    </row>
    <row r="22" spans="1:2" x14ac:dyDescent="0.2">
      <c r="A22" s="2" t="s">
        <v>18</v>
      </c>
      <c r="B22" s="3">
        <f t="shared" si="0"/>
        <v>0.4</v>
      </c>
    </row>
    <row r="23" spans="1:2" x14ac:dyDescent="0.2">
      <c r="A23" s="2" t="s">
        <v>19</v>
      </c>
      <c r="B23" s="3">
        <f t="shared" si="0"/>
        <v>0.39215686274509803</v>
      </c>
    </row>
    <row r="24" spans="1:2" x14ac:dyDescent="0.2">
      <c r="A24" s="2" t="s">
        <v>20</v>
      </c>
      <c r="B24" s="3">
        <f t="shared" si="0"/>
        <v>0.27450980392156865</v>
      </c>
    </row>
    <row r="25" spans="1:2" x14ac:dyDescent="0.2">
      <c r="A25" s="2" t="s">
        <v>21</v>
      </c>
      <c r="B25" s="3">
        <f t="shared" si="0"/>
        <v>0.2</v>
      </c>
    </row>
    <row r="26" spans="1:2" x14ac:dyDescent="0.2">
      <c r="A26" s="2" t="s">
        <v>22</v>
      </c>
      <c r="B26" s="3">
        <f t="shared" si="0"/>
        <v>0.2</v>
      </c>
    </row>
    <row r="27" spans="1:2" x14ac:dyDescent="0.2">
      <c r="A27" s="2" t="s">
        <v>23</v>
      </c>
      <c r="B27" s="3">
        <f t="shared" si="0"/>
        <v>0.1803921568627451</v>
      </c>
    </row>
    <row r="28" spans="1:2" x14ac:dyDescent="0.2">
      <c r="A28" s="2" t="s">
        <v>24</v>
      </c>
      <c r="B28" s="3">
        <f t="shared" si="0"/>
        <v>0.13725490196078433</v>
      </c>
    </row>
    <row r="29" spans="1:2" x14ac:dyDescent="0.2">
      <c r="A29" s="2" t="s">
        <v>25</v>
      </c>
      <c r="B29" s="3">
        <f t="shared" si="0"/>
        <v>0.10196078431372549</v>
      </c>
    </row>
    <row r="30" spans="1:2" x14ac:dyDescent="0.2">
      <c r="A30" s="2" t="s">
        <v>26</v>
      </c>
      <c r="B30" s="3">
        <f t="shared" si="0"/>
        <v>7.0588235294117646E-2</v>
      </c>
    </row>
    <row r="31" spans="1:2" x14ac:dyDescent="0.2">
      <c r="A31" s="2" t="s">
        <v>27</v>
      </c>
      <c r="B31" s="3">
        <f t="shared" si="0"/>
        <v>4.7058823529411764E-2</v>
      </c>
    </row>
    <row r="32" spans="1:2" x14ac:dyDescent="0.2">
      <c r="A32" s="2" t="s">
        <v>28</v>
      </c>
      <c r="B32" s="3">
        <f t="shared" si="0"/>
        <v>2.3529411764705882E-2</v>
      </c>
    </row>
    <row r="33" spans="1:2" x14ac:dyDescent="0.2">
      <c r="A33" s="2" t="s">
        <v>29</v>
      </c>
      <c r="B33" s="3">
        <f t="shared" si="0"/>
        <v>1.5686274509803921E-2</v>
      </c>
    </row>
    <row r="34" spans="1:2" x14ac:dyDescent="0.2">
      <c r="A34" s="2" t="s">
        <v>30</v>
      </c>
      <c r="B34" s="3">
        <f t="shared" si="0"/>
        <v>1.1764705882352941E-2</v>
      </c>
    </row>
    <row r="35" spans="1:2" x14ac:dyDescent="0.2">
      <c r="A35" s="2" t="s">
        <v>31</v>
      </c>
      <c r="B35" s="3">
        <f t="shared" si="0"/>
        <v>7.8431372549019607E-3</v>
      </c>
    </row>
    <row r="36" spans="1:2" x14ac:dyDescent="0.2">
      <c r="A36" s="6" t="s">
        <v>32</v>
      </c>
      <c r="B36" s="7">
        <f t="shared" si="0"/>
        <v>3.9215686274509803E-3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1ACC-5C25-405A-9A8D-17BE81FB3B1B}">
  <dimension ref="A1:L86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1.8: ",tabeltype," afroep")</f>
        <v>Bijlage 1.8: Invultabel afroep</v>
      </c>
    </row>
    <row r="3" spans="1:12" ht="38.25" x14ac:dyDescent="0.2">
      <c r="A3" s="8" t="s">
        <v>1042</v>
      </c>
      <c r="B3" s="8" t="s">
        <v>7</v>
      </c>
      <c r="C3" s="8" t="s">
        <v>1043</v>
      </c>
      <c r="D3" s="8" t="s">
        <v>36</v>
      </c>
      <c r="E3" s="8" t="s">
        <v>39</v>
      </c>
      <c r="F3" s="8" t="s">
        <v>1044</v>
      </c>
      <c r="G3" s="8" t="s">
        <v>1045</v>
      </c>
      <c r="H3" s="8" t="s">
        <v>1046</v>
      </c>
      <c r="I3" s="8" t="s">
        <v>1047</v>
      </c>
      <c r="J3" s="8" t="s">
        <v>1048</v>
      </c>
      <c r="K3" s="8" t="s">
        <v>155</v>
      </c>
      <c r="L3" s="8" t="s">
        <v>1013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1100</v>
      </c>
      <c r="B6" s="15" t="s">
        <v>19</v>
      </c>
      <c r="C6" s="16">
        <f t="shared" ref="C6:C21" si="0">IF(ISBLANK(B6),0,IF(ISERROR(VALUE(B6)),VLOOKUP(B6,dagsoorttabel1,2,FALSE)*dagenperjaar1,VALUE(B6)))</f>
        <v>100</v>
      </c>
      <c r="D6" s="15" t="s">
        <v>1101</v>
      </c>
      <c r="E6" s="15" t="s">
        <v>1092</v>
      </c>
      <c r="F6" s="102">
        <v>13.350000000000001</v>
      </c>
      <c r="G6" s="19"/>
      <c r="H6" s="17"/>
      <c r="I6" s="110"/>
      <c r="J6" s="33">
        <f t="shared" ref="J6:J19" si="1">IF(ISBLANK(H6),0,F6 / H6 * G6)</f>
        <v>0</v>
      </c>
      <c r="K6" s="33">
        <f t="shared" ref="K6:K21" si="2">C6*J6</f>
        <v>0</v>
      </c>
      <c r="L6" s="33">
        <f t="shared" ref="L6:L22" si="3">K6/12</f>
        <v>0</v>
      </c>
    </row>
    <row r="7" spans="1:12" x14ac:dyDescent="0.2">
      <c r="A7" s="20" t="s">
        <v>1102</v>
      </c>
      <c r="B7" s="20" t="s">
        <v>19</v>
      </c>
      <c r="C7" s="21">
        <f t="shared" si="0"/>
        <v>100</v>
      </c>
      <c r="D7" s="20" t="s">
        <v>1103</v>
      </c>
      <c r="E7" s="20" t="s">
        <v>1092</v>
      </c>
      <c r="F7" s="104">
        <v>29.2</v>
      </c>
      <c r="G7" s="24"/>
      <c r="H7" s="22"/>
      <c r="I7" s="106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1104</v>
      </c>
      <c r="B8" s="20" t="s">
        <v>19</v>
      </c>
      <c r="C8" s="21">
        <f t="shared" si="0"/>
        <v>100</v>
      </c>
      <c r="D8" s="20" t="s">
        <v>1105</v>
      </c>
      <c r="E8" s="20" t="s">
        <v>1092</v>
      </c>
      <c r="F8" s="104">
        <v>423.06</v>
      </c>
      <c r="G8" s="24"/>
      <c r="H8" s="22"/>
      <c r="I8" s="106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20" t="s">
        <v>1106</v>
      </c>
      <c r="B9" s="20" t="s">
        <v>19</v>
      </c>
      <c r="C9" s="21">
        <f t="shared" si="0"/>
        <v>100</v>
      </c>
      <c r="D9" s="20" t="s">
        <v>1107</v>
      </c>
      <c r="E9" s="20" t="s">
        <v>1092</v>
      </c>
      <c r="F9" s="104">
        <v>61.550000000000011</v>
      </c>
      <c r="G9" s="24"/>
      <c r="H9" s="22"/>
      <c r="I9" s="106"/>
      <c r="J9" s="37">
        <f t="shared" si="1"/>
        <v>0</v>
      </c>
      <c r="K9" s="37">
        <f t="shared" si="2"/>
        <v>0</v>
      </c>
      <c r="L9" s="37">
        <f t="shared" si="3"/>
        <v>0</v>
      </c>
    </row>
    <row r="10" spans="1:12" x14ac:dyDescent="0.2">
      <c r="A10" s="20" t="s">
        <v>1108</v>
      </c>
      <c r="B10" s="20" t="s">
        <v>19</v>
      </c>
      <c r="C10" s="21">
        <f t="shared" si="0"/>
        <v>100</v>
      </c>
      <c r="D10" s="20" t="s">
        <v>1109</v>
      </c>
      <c r="E10" s="20" t="s">
        <v>1092</v>
      </c>
      <c r="F10" s="104">
        <v>345</v>
      </c>
      <c r="G10" s="24"/>
      <c r="H10" s="22"/>
      <c r="I10" s="106"/>
      <c r="J10" s="37">
        <f t="shared" si="1"/>
        <v>0</v>
      </c>
      <c r="K10" s="37">
        <f t="shared" si="2"/>
        <v>0</v>
      </c>
      <c r="L10" s="37">
        <f t="shared" si="3"/>
        <v>0</v>
      </c>
    </row>
    <row r="11" spans="1:12" x14ac:dyDescent="0.2">
      <c r="A11" s="20" t="s">
        <v>1110</v>
      </c>
      <c r="B11" s="20" t="s">
        <v>19</v>
      </c>
      <c r="C11" s="21">
        <f t="shared" si="0"/>
        <v>100</v>
      </c>
      <c r="D11" s="20" t="s">
        <v>1111</v>
      </c>
      <c r="E11" s="20" t="s">
        <v>1092</v>
      </c>
      <c r="F11" s="104">
        <v>1211.7</v>
      </c>
      <c r="G11" s="24"/>
      <c r="H11" s="22"/>
      <c r="I11" s="106"/>
      <c r="J11" s="37">
        <f t="shared" si="1"/>
        <v>0</v>
      </c>
      <c r="K11" s="37">
        <f t="shared" si="2"/>
        <v>0</v>
      </c>
      <c r="L11" s="37">
        <f t="shared" si="3"/>
        <v>0</v>
      </c>
    </row>
    <row r="12" spans="1:12" x14ac:dyDescent="0.2">
      <c r="A12" s="20" t="s">
        <v>1112</v>
      </c>
      <c r="B12" s="20" t="s">
        <v>19</v>
      </c>
      <c r="C12" s="21">
        <f t="shared" si="0"/>
        <v>100</v>
      </c>
      <c r="D12" s="20" t="s">
        <v>1113</v>
      </c>
      <c r="E12" s="20" t="s">
        <v>1092</v>
      </c>
      <c r="F12" s="104">
        <v>477.71</v>
      </c>
      <c r="G12" s="24"/>
      <c r="H12" s="22"/>
      <c r="I12" s="106"/>
      <c r="J12" s="37">
        <f t="shared" si="1"/>
        <v>0</v>
      </c>
      <c r="K12" s="37">
        <f t="shared" si="2"/>
        <v>0</v>
      </c>
      <c r="L12" s="37">
        <f t="shared" si="3"/>
        <v>0</v>
      </c>
    </row>
    <row r="13" spans="1:12" x14ac:dyDescent="0.2">
      <c r="A13" s="20" t="s">
        <v>1114</v>
      </c>
      <c r="B13" s="20" t="s">
        <v>19</v>
      </c>
      <c r="C13" s="21">
        <f t="shared" si="0"/>
        <v>100</v>
      </c>
      <c r="D13" s="20" t="s">
        <v>1115</v>
      </c>
      <c r="E13" s="20" t="s">
        <v>1092</v>
      </c>
      <c r="F13" s="104">
        <v>157.99999999999997</v>
      </c>
      <c r="G13" s="24"/>
      <c r="H13" s="22"/>
      <c r="I13" s="106"/>
      <c r="J13" s="37">
        <f t="shared" si="1"/>
        <v>0</v>
      </c>
      <c r="K13" s="37">
        <f t="shared" si="2"/>
        <v>0</v>
      </c>
      <c r="L13" s="37">
        <f t="shared" si="3"/>
        <v>0</v>
      </c>
    </row>
    <row r="14" spans="1:12" x14ac:dyDescent="0.2">
      <c r="A14" s="20" t="s">
        <v>1116</v>
      </c>
      <c r="B14" s="20" t="s">
        <v>19</v>
      </c>
      <c r="C14" s="21">
        <f t="shared" si="0"/>
        <v>100</v>
      </c>
      <c r="D14" s="20" t="s">
        <v>1117</v>
      </c>
      <c r="E14" s="20" t="s">
        <v>1092</v>
      </c>
      <c r="F14" s="104">
        <v>170.29999999999998</v>
      </c>
      <c r="G14" s="24"/>
      <c r="H14" s="22"/>
      <c r="I14" s="106"/>
      <c r="J14" s="37">
        <f t="shared" si="1"/>
        <v>0</v>
      </c>
      <c r="K14" s="37">
        <f t="shared" si="2"/>
        <v>0</v>
      </c>
      <c r="L14" s="37">
        <f t="shared" si="3"/>
        <v>0</v>
      </c>
    </row>
    <row r="15" spans="1:12" x14ac:dyDescent="0.2">
      <c r="A15" s="20" t="s">
        <v>1118</v>
      </c>
      <c r="B15" s="20" t="s">
        <v>19</v>
      </c>
      <c r="C15" s="21">
        <f t="shared" si="0"/>
        <v>100</v>
      </c>
      <c r="D15" s="20" t="s">
        <v>1119</v>
      </c>
      <c r="E15" s="20" t="s">
        <v>1092</v>
      </c>
      <c r="F15" s="104">
        <v>84.45</v>
      </c>
      <c r="G15" s="24"/>
      <c r="H15" s="22"/>
      <c r="I15" s="106"/>
      <c r="J15" s="37">
        <f t="shared" si="1"/>
        <v>0</v>
      </c>
      <c r="K15" s="37">
        <f t="shared" si="2"/>
        <v>0</v>
      </c>
      <c r="L15" s="37">
        <f t="shared" si="3"/>
        <v>0</v>
      </c>
    </row>
    <row r="16" spans="1:12" x14ac:dyDescent="0.2">
      <c r="A16" s="20" t="s">
        <v>1120</v>
      </c>
      <c r="B16" s="20" t="s">
        <v>19</v>
      </c>
      <c r="C16" s="21">
        <f t="shared" si="0"/>
        <v>100</v>
      </c>
      <c r="D16" s="20" t="s">
        <v>1121</v>
      </c>
      <c r="E16" s="20" t="s">
        <v>1092</v>
      </c>
      <c r="F16" s="104">
        <v>3</v>
      </c>
      <c r="G16" s="24"/>
      <c r="H16" s="22"/>
      <c r="I16" s="106"/>
      <c r="J16" s="37">
        <f t="shared" si="1"/>
        <v>0</v>
      </c>
      <c r="K16" s="37">
        <f t="shared" si="2"/>
        <v>0</v>
      </c>
      <c r="L16" s="37">
        <f t="shared" si="3"/>
        <v>0</v>
      </c>
    </row>
    <row r="17" spans="1:12" x14ac:dyDescent="0.2">
      <c r="A17" s="20" t="s">
        <v>1122</v>
      </c>
      <c r="B17" s="20" t="s">
        <v>19</v>
      </c>
      <c r="C17" s="21">
        <f t="shared" si="0"/>
        <v>100</v>
      </c>
      <c r="D17" s="20" t="s">
        <v>1123</v>
      </c>
      <c r="E17" s="20" t="s">
        <v>1092</v>
      </c>
      <c r="F17" s="104">
        <v>2957.4</v>
      </c>
      <c r="G17" s="24"/>
      <c r="H17" s="22"/>
      <c r="I17" s="106"/>
      <c r="J17" s="37">
        <f t="shared" si="1"/>
        <v>0</v>
      </c>
      <c r="K17" s="37">
        <f t="shared" si="2"/>
        <v>0</v>
      </c>
      <c r="L17" s="37">
        <f t="shared" si="3"/>
        <v>0</v>
      </c>
    </row>
    <row r="18" spans="1:12" x14ac:dyDescent="0.2">
      <c r="A18" s="20" t="s">
        <v>1124</v>
      </c>
      <c r="B18" s="20" t="s">
        <v>19</v>
      </c>
      <c r="C18" s="21">
        <f t="shared" si="0"/>
        <v>100</v>
      </c>
      <c r="D18" s="20" t="s">
        <v>1125</v>
      </c>
      <c r="E18" s="20" t="s">
        <v>1092</v>
      </c>
      <c r="F18" s="104">
        <v>2483.4999999999995</v>
      </c>
      <c r="G18" s="24"/>
      <c r="H18" s="22"/>
      <c r="I18" s="106"/>
      <c r="J18" s="37">
        <f t="shared" si="1"/>
        <v>0</v>
      </c>
      <c r="K18" s="37">
        <f t="shared" si="2"/>
        <v>0</v>
      </c>
      <c r="L18" s="37">
        <f t="shared" si="3"/>
        <v>0</v>
      </c>
    </row>
    <row r="19" spans="1:12" x14ac:dyDescent="0.2">
      <c r="A19" s="20" t="s">
        <v>1126</v>
      </c>
      <c r="B19" s="20" t="s">
        <v>19</v>
      </c>
      <c r="C19" s="21">
        <f t="shared" si="0"/>
        <v>100</v>
      </c>
      <c r="D19" s="20" t="s">
        <v>1127</v>
      </c>
      <c r="E19" s="20" t="s">
        <v>1092</v>
      </c>
      <c r="F19" s="104">
        <v>16</v>
      </c>
      <c r="G19" s="24"/>
      <c r="H19" s="22"/>
      <c r="I19" s="106"/>
      <c r="J19" s="37">
        <f t="shared" si="1"/>
        <v>0</v>
      </c>
      <c r="K19" s="37">
        <f t="shared" si="2"/>
        <v>0</v>
      </c>
      <c r="L19" s="37">
        <f t="shared" si="3"/>
        <v>0</v>
      </c>
    </row>
    <row r="20" spans="1:12" x14ac:dyDescent="0.2">
      <c r="A20" s="20" t="s">
        <v>1128</v>
      </c>
      <c r="B20" s="20" t="s">
        <v>19</v>
      </c>
      <c r="C20" s="21">
        <f t="shared" si="0"/>
        <v>100</v>
      </c>
      <c r="D20" s="20" t="s">
        <v>1129</v>
      </c>
      <c r="E20" s="20" t="s">
        <v>1130</v>
      </c>
      <c r="F20" s="104">
        <v>3</v>
      </c>
      <c r="G20" s="24"/>
      <c r="H20" s="105"/>
      <c r="I20" s="24"/>
      <c r="J20" s="37">
        <f>IF(ISBLANK(F20),0,F20)*I20</f>
        <v>0</v>
      </c>
      <c r="K20" s="37">
        <f t="shared" si="2"/>
        <v>0</v>
      </c>
      <c r="L20" s="37">
        <f t="shared" si="3"/>
        <v>0</v>
      </c>
    </row>
    <row r="21" spans="1:12" x14ac:dyDescent="0.2">
      <c r="A21" s="25" t="s">
        <v>1131</v>
      </c>
      <c r="B21" s="25" t="s">
        <v>21</v>
      </c>
      <c r="C21" s="26">
        <f t="shared" si="0"/>
        <v>51</v>
      </c>
      <c r="D21" s="25" t="s">
        <v>1132</v>
      </c>
      <c r="E21" s="25" t="s">
        <v>1130</v>
      </c>
      <c r="F21" s="107">
        <v>6</v>
      </c>
      <c r="G21" s="29"/>
      <c r="H21" s="111"/>
      <c r="I21" s="29"/>
      <c r="J21" s="41">
        <f>IF(ISBLANK(F21),0,F21)*I21</f>
        <v>0</v>
      </c>
      <c r="K21" s="41">
        <f t="shared" si="2"/>
        <v>0</v>
      </c>
      <c r="L21" s="41">
        <f t="shared" si="3"/>
        <v>0</v>
      </c>
    </row>
    <row r="22" spans="1:12" x14ac:dyDescent="0.2">
      <c r="A22" s="43" t="s">
        <v>231</v>
      </c>
      <c r="B22" s="44"/>
      <c r="C22" s="44"/>
      <c r="D22" s="44"/>
      <c r="E22" s="44"/>
      <c r="F22" s="44"/>
      <c r="G22" s="44"/>
      <c r="H22" s="44"/>
      <c r="I22" s="44"/>
      <c r="J22" s="44"/>
      <c r="K22" s="46">
        <f>SUM(K6:K21)</f>
        <v>0</v>
      </c>
      <c r="L22" s="109">
        <f t="shared" si="3"/>
        <v>0</v>
      </c>
    </row>
    <row r="23" spans="1:12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</row>
    <row r="24" spans="1:12" x14ac:dyDescent="0.2">
      <c r="A24" s="12" t="s">
        <v>1133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</row>
    <row r="25" spans="1:12" x14ac:dyDescent="0.2">
      <c r="A25" s="15" t="s">
        <v>1134</v>
      </c>
      <c r="B25" s="15" t="s">
        <v>28</v>
      </c>
      <c r="C25" s="16">
        <f t="shared" ref="C25:C52" si="4">IF(ISBLANK(B25),0,IF(ISERROR(VALUE(B25)),VLOOKUP(B25,dagsoorttabel1,2,FALSE)*dagenperjaar1,VALUE(B25)))</f>
        <v>6</v>
      </c>
      <c r="D25" s="15" t="s">
        <v>1103</v>
      </c>
      <c r="E25" s="15" t="s">
        <v>1092</v>
      </c>
      <c r="F25" s="102">
        <v>29.2</v>
      </c>
      <c r="G25" s="19"/>
      <c r="H25" s="17"/>
      <c r="I25" s="110"/>
      <c r="J25" s="33">
        <f t="shared" ref="J25:J50" si="5">IF(ISBLANK(H25),0,F25 / H25 * G25)</f>
        <v>0</v>
      </c>
      <c r="K25" s="33">
        <f t="shared" ref="K25:K52" si="6">C25*J25</f>
        <v>0</v>
      </c>
      <c r="L25" s="33">
        <f t="shared" ref="L25:L53" si="7">K25/12</f>
        <v>0</v>
      </c>
    </row>
    <row r="26" spans="1:12" x14ac:dyDescent="0.2">
      <c r="A26" s="20" t="s">
        <v>1135</v>
      </c>
      <c r="B26" s="20" t="s">
        <v>28</v>
      </c>
      <c r="C26" s="21">
        <f t="shared" si="4"/>
        <v>6</v>
      </c>
      <c r="D26" s="20" t="s">
        <v>1136</v>
      </c>
      <c r="E26" s="20" t="s">
        <v>1092</v>
      </c>
      <c r="F26" s="104">
        <v>20</v>
      </c>
      <c r="G26" s="24"/>
      <c r="H26" s="22"/>
      <c r="I26" s="106"/>
      <c r="J26" s="37">
        <f t="shared" si="5"/>
        <v>0</v>
      </c>
      <c r="K26" s="37">
        <f t="shared" si="6"/>
        <v>0</v>
      </c>
      <c r="L26" s="37">
        <f t="shared" si="7"/>
        <v>0</v>
      </c>
    </row>
    <row r="27" spans="1:12" x14ac:dyDescent="0.2">
      <c r="A27" s="20" t="s">
        <v>1137</v>
      </c>
      <c r="B27" s="20" t="s">
        <v>28</v>
      </c>
      <c r="C27" s="21">
        <f t="shared" si="4"/>
        <v>6</v>
      </c>
      <c r="D27" s="20" t="s">
        <v>1138</v>
      </c>
      <c r="E27" s="20" t="s">
        <v>1092</v>
      </c>
      <c r="F27" s="104">
        <v>90.7</v>
      </c>
      <c r="G27" s="24"/>
      <c r="H27" s="22"/>
      <c r="I27" s="106"/>
      <c r="J27" s="37">
        <f t="shared" si="5"/>
        <v>0</v>
      </c>
      <c r="K27" s="37">
        <f t="shared" si="6"/>
        <v>0</v>
      </c>
      <c r="L27" s="37">
        <f t="shared" si="7"/>
        <v>0</v>
      </c>
    </row>
    <row r="28" spans="1:12" x14ac:dyDescent="0.2">
      <c r="A28" s="20" t="s">
        <v>1139</v>
      </c>
      <c r="B28" s="20" t="s">
        <v>31</v>
      </c>
      <c r="C28" s="21">
        <f t="shared" si="4"/>
        <v>2</v>
      </c>
      <c r="D28" s="20" t="s">
        <v>1105</v>
      </c>
      <c r="E28" s="20" t="s">
        <v>1092</v>
      </c>
      <c r="F28" s="104">
        <v>97.8</v>
      </c>
      <c r="G28" s="24"/>
      <c r="H28" s="22"/>
      <c r="I28" s="106"/>
      <c r="J28" s="37">
        <f t="shared" si="5"/>
        <v>0</v>
      </c>
      <c r="K28" s="37">
        <f t="shared" si="6"/>
        <v>0</v>
      </c>
      <c r="L28" s="37">
        <f t="shared" si="7"/>
        <v>0</v>
      </c>
    </row>
    <row r="29" spans="1:12" x14ac:dyDescent="0.2">
      <c r="A29" s="20" t="s">
        <v>1139</v>
      </c>
      <c r="B29" s="20" t="s">
        <v>28</v>
      </c>
      <c r="C29" s="21">
        <f t="shared" si="4"/>
        <v>6</v>
      </c>
      <c r="D29" s="20" t="s">
        <v>1105</v>
      </c>
      <c r="E29" s="20" t="s">
        <v>1092</v>
      </c>
      <c r="F29" s="104">
        <v>431.86</v>
      </c>
      <c r="G29" s="24"/>
      <c r="H29" s="22"/>
      <c r="I29" s="106"/>
      <c r="J29" s="37">
        <f t="shared" si="5"/>
        <v>0</v>
      </c>
      <c r="K29" s="37">
        <f t="shared" si="6"/>
        <v>0</v>
      </c>
      <c r="L29" s="37">
        <f t="shared" si="7"/>
        <v>0</v>
      </c>
    </row>
    <row r="30" spans="1:12" x14ac:dyDescent="0.2">
      <c r="A30" s="20" t="s">
        <v>1140</v>
      </c>
      <c r="B30" s="20" t="s">
        <v>28</v>
      </c>
      <c r="C30" s="21">
        <f t="shared" si="4"/>
        <v>6</v>
      </c>
      <c r="D30" s="20" t="s">
        <v>1141</v>
      </c>
      <c r="E30" s="20" t="s">
        <v>1092</v>
      </c>
      <c r="F30" s="104">
        <v>68.5</v>
      </c>
      <c r="G30" s="24"/>
      <c r="H30" s="22"/>
      <c r="I30" s="106"/>
      <c r="J30" s="37">
        <f t="shared" si="5"/>
        <v>0</v>
      </c>
      <c r="K30" s="37">
        <f t="shared" si="6"/>
        <v>0</v>
      </c>
      <c r="L30" s="37">
        <f t="shared" si="7"/>
        <v>0</v>
      </c>
    </row>
    <row r="31" spans="1:12" x14ac:dyDescent="0.2">
      <c r="A31" s="20" t="s">
        <v>1142</v>
      </c>
      <c r="B31" s="20" t="s">
        <v>31</v>
      </c>
      <c r="C31" s="21">
        <f t="shared" si="4"/>
        <v>2</v>
      </c>
      <c r="D31" s="20" t="s">
        <v>1107</v>
      </c>
      <c r="E31" s="20" t="s">
        <v>1092</v>
      </c>
      <c r="F31" s="104">
        <v>91.550000000000011</v>
      </c>
      <c r="G31" s="24"/>
      <c r="H31" s="22"/>
      <c r="I31" s="106"/>
      <c r="J31" s="37">
        <f t="shared" si="5"/>
        <v>0</v>
      </c>
      <c r="K31" s="37">
        <f t="shared" si="6"/>
        <v>0</v>
      </c>
      <c r="L31" s="37">
        <f t="shared" si="7"/>
        <v>0</v>
      </c>
    </row>
    <row r="32" spans="1:12" x14ac:dyDescent="0.2">
      <c r="A32" s="20" t="s">
        <v>1142</v>
      </c>
      <c r="B32" s="20" t="s">
        <v>28</v>
      </c>
      <c r="C32" s="21">
        <f t="shared" si="4"/>
        <v>6</v>
      </c>
      <c r="D32" s="20" t="s">
        <v>1107</v>
      </c>
      <c r="E32" s="20" t="s">
        <v>1092</v>
      </c>
      <c r="F32" s="104">
        <v>658.1</v>
      </c>
      <c r="G32" s="24"/>
      <c r="H32" s="22"/>
      <c r="I32" s="106"/>
      <c r="J32" s="37">
        <f t="shared" si="5"/>
        <v>0</v>
      </c>
      <c r="K32" s="37">
        <f t="shared" si="6"/>
        <v>0</v>
      </c>
      <c r="L32" s="37">
        <f t="shared" si="7"/>
        <v>0</v>
      </c>
    </row>
    <row r="33" spans="1:12" x14ac:dyDescent="0.2">
      <c r="A33" s="20" t="s">
        <v>1143</v>
      </c>
      <c r="B33" s="20" t="s">
        <v>28</v>
      </c>
      <c r="C33" s="21">
        <f t="shared" si="4"/>
        <v>6</v>
      </c>
      <c r="D33" s="20" t="s">
        <v>1144</v>
      </c>
      <c r="E33" s="20" t="s">
        <v>1092</v>
      </c>
      <c r="F33" s="104">
        <v>47.5</v>
      </c>
      <c r="G33" s="24"/>
      <c r="H33" s="22"/>
      <c r="I33" s="106"/>
      <c r="J33" s="37">
        <f t="shared" si="5"/>
        <v>0</v>
      </c>
      <c r="K33" s="37">
        <f t="shared" si="6"/>
        <v>0</v>
      </c>
      <c r="L33" s="37">
        <f t="shared" si="7"/>
        <v>0</v>
      </c>
    </row>
    <row r="34" spans="1:12" x14ac:dyDescent="0.2">
      <c r="A34" s="20" t="s">
        <v>1145</v>
      </c>
      <c r="B34" s="20" t="s">
        <v>31</v>
      </c>
      <c r="C34" s="21">
        <f t="shared" si="4"/>
        <v>2</v>
      </c>
      <c r="D34" s="20" t="s">
        <v>1109</v>
      </c>
      <c r="E34" s="20" t="s">
        <v>1092</v>
      </c>
      <c r="F34" s="104">
        <v>345</v>
      </c>
      <c r="G34" s="24"/>
      <c r="H34" s="22"/>
      <c r="I34" s="106"/>
      <c r="J34" s="37">
        <f t="shared" si="5"/>
        <v>0</v>
      </c>
      <c r="K34" s="37">
        <f t="shared" si="6"/>
        <v>0</v>
      </c>
      <c r="L34" s="37">
        <f t="shared" si="7"/>
        <v>0</v>
      </c>
    </row>
    <row r="35" spans="1:12" x14ac:dyDescent="0.2">
      <c r="A35" s="20" t="s">
        <v>1146</v>
      </c>
      <c r="B35" s="20" t="s">
        <v>28</v>
      </c>
      <c r="C35" s="21">
        <f t="shared" si="4"/>
        <v>6</v>
      </c>
      <c r="D35" s="20" t="s">
        <v>1111</v>
      </c>
      <c r="E35" s="20" t="s">
        <v>1092</v>
      </c>
      <c r="F35" s="104">
        <v>1211.7</v>
      </c>
      <c r="G35" s="24"/>
      <c r="H35" s="22"/>
      <c r="I35" s="106"/>
      <c r="J35" s="37">
        <f t="shared" si="5"/>
        <v>0</v>
      </c>
      <c r="K35" s="37">
        <f t="shared" si="6"/>
        <v>0</v>
      </c>
      <c r="L35" s="37">
        <f t="shared" si="7"/>
        <v>0</v>
      </c>
    </row>
    <row r="36" spans="1:12" x14ac:dyDescent="0.2">
      <c r="A36" s="20" t="s">
        <v>1147</v>
      </c>
      <c r="B36" s="20" t="s">
        <v>28</v>
      </c>
      <c r="C36" s="21">
        <f t="shared" si="4"/>
        <v>6</v>
      </c>
      <c r="D36" s="20" t="s">
        <v>1148</v>
      </c>
      <c r="E36" s="20" t="s">
        <v>1092</v>
      </c>
      <c r="F36" s="104">
        <v>277</v>
      </c>
      <c r="G36" s="24"/>
      <c r="H36" s="22"/>
      <c r="I36" s="106"/>
      <c r="J36" s="37">
        <f t="shared" si="5"/>
        <v>0</v>
      </c>
      <c r="K36" s="37">
        <f t="shared" si="6"/>
        <v>0</v>
      </c>
      <c r="L36" s="37">
        <f t="shared" si="7"/>
        <v>0</v>
      </c>
    </row>
    <row r="37" spans="1:12" x14ac:dyDescent="0.2">
      <c r="A37" s="20" t="s">
        <v>1149</v>
      </c>
      <c r="B37" s="20" t="s">
        <v>31</v>
      </c>
      <c r="C37" s="21">
        <f t="shared" si="4"/>
        <v>2</v>
      </c>
      <c r="D37" s="20" t="s">
        <v>1113</v>
      </c>
      <c r="E37" s="20" t="s">
        <v>1092</v>
      </c>
      <c r="F37" s="104">
        <v>74</v>
      </c>
      <c r="G37" s="24"/>
      <c r="H37" s="22"/>
      <c r="I37" s="106"/>
      <c r="J37" s="37">
        <f t="shared" si="5"/>
        <v>0</v>
      </c>
      <c r="K37" s="37">
        <f t="shared" si="6"/>
        <v>0</v>
      </c>
      <c r="L37" s="37">
        <f t="shared" si="7"/>
        <v>0</v>
      </c>
    </row>
    <row r="38" spans="1:12" x14ac:dyDescent="0.2">
      <c r="A38" s="20" t="s">
        <v>1149</v>
      </c>
      <c r="B38" s="20" t="s">
        <v>28</v>
      </c>
      <c r="C38" s="21">
        <f t="shared" si="4"/>
        <v>6</v>
      </c>
      <c r="D38" s="20" t="s">
        <v>1113</v>
      </c>
      <c r="E38" s="20" t="s">
        <v>1092</v>
      </c>
      <c r="F38" s="104">
        <v>383.54999999999995</v>
      </c>
      <c r="G38" s="24"/>
      <c r="H38" s="22"/>
      <c r="I38" s="106"/>
      <c r="J38" s="37">
        <f t="shared" si="5"/>
        <v>0</v>
      </c>
      <c r="K38" s="37">
        <f t="shared" si="6"/>
        <v>0</v>
      </c>
      <c r="L38" s="37">
        <f t="shared" si="7"/>
        <v>0</v>
      </c>
    </row>
    <row r="39" spans="1:12" x14ac:dyDescent="0.2">
      <c r="A39" s="20" t="s">
        <v>1150</v>
      </c>
      <c r="B39" s="20" t="s">
        <v>31</v>
      </c>
      <c r="C39" s="21">
        <f t="shared" si="4"/>
        <v>2</v>
      </c>
      <c r="D39" s="20" t="s">
        <v>1115</v>
      </c>
      <c r="E39" s="20" t="s">
        <v>1092</v>
      </c>
      <c r="F39" s="112"/>
      <c r="G39" s="24"/>
      <c r="H39" s="22"/>
      <c r="I39" s="106"/>
      <c r="J39" s="37">
        <f t="shared" si="5"/>
        <v>0</v>
      </c>
      <c r="K39" s="37">
        <f t="shared" si="6"/>
        <v>0</v>
      </c>
      <c r="L39" s="37">
        <f t="shared" si="7"/>
        <v>0</v>
      </c>
    </row>
    <row r="40" spans="1:12" x14ac:dyDescent="0.2">
      <c r="A40" s="20" t="s">
        <v>1150</v>
      </c>
      <c r="B40" s="20" t="s">
        <v>28</v>
      </c>
      <c r="C40" s="21">
        <f t="shared" si="4"/>
        <v>6</v>
      </c>
      <c r="D40" s="20" t="s">
        <v>1115</v>
      </c>
      <c r="E40" s="20" t="s">
        <v>1092</v>
      </c>
      <c r="F40" s="104">
        <v>158.19999999999999</v>
      </c>
      <c r="G40" s="24"/>
      <c r="H40" s="22"/>
      <c r="I40" s="106"/>
      <c r="J40" s="37">
        <f t="shared" si="5"/>
        <v>0</v>
      </c>
      <c r="K40" s="37">
        <f t="shared" si="6"/>
        <v>0</v>
      </c>
      <c r="L40" s="37">
        <f t="shared" si="7"/>
        <v>0</v>
      </c>
    </row>
    <row r="41" spans="1:12" x14ac:dyDescent="0.2">
      <c r="A41" s="20" t="s">
        <v>1151</v>
      </c>
      <c r="B41" s="20" t="s">
        <v>31</v>
      </c>
      <c r="C41" s="21">
        <f t="shared" si="4"/>
        <v>2</v>
      </c>
      <c r="D41" s="20" t="s">
        <v>1117</v>
      </c>
      <c r="E41" s="20" t="s">
        <v>1092</v>
      </c>
      <c r="F41" s="104">
        <v>170.29999999999998</v>
      </c>
      <c r="G41" s="24"/>
      <c r="H41" s="22"/>
      <c r="I41" s="106"/>
      <c r="J41" s="37">
        <f t="shared" si="5"/>
        <v>0</v>
      </c>
      <c r="K41" s="37">
        <f t="shared" si="6"/>
        <v>0</v>
      </c>
      <c r="L41" s="37">
        <f t="shared" si="7"/>
        <v>0</v>
      </c>
    </row>
    <row r="42" spans="1:12" x14ac:dyDescent="0.2">
      <c r="A42" s="20" t="s">
        <v>1151</v>
      </c>
      <c r="B42" s="20" t="s">
        <v>28</v>
      </c>
      <c r="C42" s="21">
        <f t="shared" si="4"/>
        <v>6</v>
      </c>
      <c r="D42" s="20" t="s">
        <v>1117</v>
      </c>
      <c r="E42" s="20" t="s">
        <v>1092</v>
      </c>
      <c r="F42" s="104">
        <v>70.3</v>
      </c>
      <c r="G42" s="24"/>
      <c r="H42" s="22"/>
      <c r="I42" s="106"/>
      <c r="J42" s="37">
        <f t="shared" si="5"/>
        <v>0</v>
      </c>
      <c r="K42" s="37">
        <f t="shared" si="6"/>
        <v>0</v>
      </c>
      <c r="L42" s="37">
        <f t="shared" si="7"/>
        <v>0</v>
      </c>
    </row>
    <row r="43" spans="1:12" x14ac:dyDescent="0.2">
      <c r="A43" s="20" t="s">
        <v>1152</v>
      </c>
      <c r="B43" s="20" t="s">
        <v>31</v>
      </c>
      <c r="C43" s="21">
        <f t="shared" si="4"/>
        <v>2</v>
      </c>
      <c r="D43" s="20" t="s">
        <v>1119</v>
      </c>
      <c r="E43" s="20" t="s">
        <v>1092</v>
      </c>
      <c r="F43" s="104">
        <v>84.45</v>
      </c>
      <c r="G43" s="24"/>
      <c r="H43" s="22"/>
      <c r="I43" s="106"/>
      <c r="J43" s="37">
        <f t="shared" si="5"/>
        <v>0</v>
      </c>
      <c r="K43" s="37">
        <f t="shared" si="6"/>
        <v>0</v>
      </c>
      <c r="L43" s="37">
        <f t="shared" si="7"/>
        <v>0</v>
      </c>
    </row>
    <row r="44" spans="1:12" x14ac:dyDescent="0.2">
      <c r="A44" s="20" t="s">
        <v>1153</v>
      </c>
      <c r="B44" s="20" t="s">
        <v>28</v>
      </c>
      <c r="C44" s="21">
        <f t="shared" si="4"/>
        <v>6</v>
      </c>
      <c r="D44" s="20" t="s">
        <v>1154</v>
      </c>
      <c r="E44" s="20" t="s">
        <v>1092</v>
      </c>
      <c r="F44" s="104">
        <v>96.2</v>
      </c>
      <c r="G44" s="24"/>
      <c r="H44" s="22"/>
      <c r="I44" s="106"/>
      <c r="J44" s="37">
        <f t="shared" si="5"/>
        <v>0</v>
      </c>
      <c r="K44" s="37">
        <f t="shared" si="6"/>
        <v>0</v>
      </c>
      <c r="L44" s="37">
        <f t="shared" si="7"/>
        <v>0</v>
      </c>
    </row>
    <row r="45" spans="1:12" x14ac:dyDescent="0.2">
      <c r="A45" s="20" t="s">
        <v>1155</v>
      </c>
      <c r="B45" s="20" t="s">
        <v>31</v>
      </c>
      <c r="C45" s="21">
        <f t="shared" si="4"/>
        <v>2</v>
      </c>
      <c r="D45" s="20" t="s">
        <v>1121</v>
      </c>
      <c r="E45" s="20" t="s">
        <v>1092</v>
      </c>
      <c r="F45" s="104">
        <v>3</v>
      </c>
      <c r="G45" s="24"/>
      <c r="H45" s="22"/>
      <c r="I45" s="106"/>
      <c r="J45" s="37">
        <f t="shared" si="5"/>
        <v>0</v>
      </c>
      <c r="K45" s="37">
        <f t="shared" si="6"/>
        <v>0</v>
      </c>
      <c r="L45" s="37">
        <f t="shared" si="7"/>
        <v>0</v>
      </c>
    </row>
    <row r="46" spans="1:12" x14ac:dyDescent="0.2">
      <c r="A46" s="20" t="s">
        <v>1156</v>
      </c>
      <c r="B46" s="20" t="s">
        <v>31</v>
      </c>
      <c r="C46" s="21">
        <f t="shared" si="4"/>
        <v>2</v>
      </c>
      <c r="D46" s="20" t="s">
        <v>1123</v>
      </c>
      <c r="E46" s="20" t="s">
        <v>1092</v>
      </c>
      <c r="F46" s="104">
        <v>71</v>
      </c>
      <c r="G46" s="24"/>
      <c r="H46" s="22"/>
      <c r="I46" s="106"/>
      <c r="J46" s="37">
        <f t="shared" si="5"/>
        <v>0</v>
      </c>
      <c r="K46" s="37">
        <f t="shared" si="6"/>
        <v>0</v>
      </c>
      <c r="L46" s="37">
        <f t="shared" si="7"/>
        <v>0</v>
      </c>
    </row>
    <row r="47" spans="1:12" x14ac:dyDescent="0.2">
      <c r="A47" s="20" t="s">
        <v>1156</v>
      </c>
      <c r="B47" s="20" t="s">
        <v>28</v>
      </c>
      <c r="C47" s="21">
        <f t="shared" si="4"/>
        <v>6</v>
      </c>
      <c r="D47" s="20" t="s">
        <v>1123</v>
      </c>
      <c r="E47" s="20" t="s">
        <v>1092</v>
      </c>
      <c r="F47" s="104">
        <v>3730.5</v>
      </c>
      <c r="G47" s="24"/>
      <c r="H47" s="22"/>
      <c r="I47" s="106"/>
      <c r="J47" s="37">
        <f t="shared" si="5"/>
        <v>0</v>
      </c>
      <c r="K47" s="37">
        <f t="shared" si="6"/>
        <v>0</v>
      </c>
      <c r="L47" s="37">
        <f t="shared" si="7"/>
        <v>0</v>
      </c>
    </row>
    <row r="48" spans="1:12" x14ac:dyDescent="0.2">
      <c r="A48" s="20" t="s">
        <v>1157</v>
      </c>
      <c r="B48" s="20" t="s">
        <v>31</v>
      </c>
      <c r="C48" s="21">
        <f t="shared" si="4"/>
        <v>2</v>
      </c>
      <c r="D48" s="20" t="s">
        <v>1125</v>
      </c>
      <c r="E48" s="20" t="s">
        <v>1092</v>
      </c>
      <c r="F48" s="104">
        <v>334.29999999999995</v>
      </c>
      <c r="G48" s="24"/>
      <c r="H48" s="22"/>
      <c r="I48" s="106"/>
      <c r="J48" s="37">
        <f t="shared" si="5"/>
        <v>0</v>
      </c>
      <c r="K48" s="37">
        <f t="shared" si="6"/>
        <v>0</v>
      </c>
      <c r="L48" s="37">
        <f t="shared" si="7"/>
        <v>0</v>
      </c>
    </row>
    <row r="49" spans="1:12" x14ac:dyDescent="0.2">
      <c r="A49" s="20" t="s">
        <v>1157</v>
      </c>
      <c r="B49" s="20" t="s">
        <v>28</v>
      </c>
      <c r="C49" s="21">
        <f t="shared" si="4"/>
        <v>6</v>
      </c>
      <c r="D49" s="20" t="s">
        <v>1125</v>
      </c>
      <c r="E49" s="20" t="s">
        <v>1092</v>
      </c>
      <c r="F49" s="104">
        <v>2299.1999999999998</v>
      </c>
      <c r="G49" s="24"/>
      <c r="H49" s="22"/>
      <c r="I49" s="106"/>
      <c r="J49" s="37">
        <f t="shared" si="5"/>
        <v>0</v>
      </c>
      <c r="K49" s="37">
        <f t="shared" si="6"/>
        <v>0</v>
      </c>
      <c r="L49" s="37">
        <f t="shared" si="7"/>
        <v>0</v>
      </c>
    </row>
    <row r="50" spans="1:12" x14ac:dyDescent="0.2">
      <c r="A50" s="20" t="s">
        <v>1158</v>
      </c>
      <c r="B50" s="20" t="s">
        <v>31</v>
      </c>
      <c r="C50" s="21">
        <f t="shared" si="4"/>
        <v>2</v>
      </c>
      <c r="D50" s="20" t="s">
        <v>1127</v>
      </c>
      <c r="E50" s="20" t="s">
        <v>1092</v>
      </c>
      <c r="F50" s="104">
        <v>16</v>
      </c>
      <c r="G50" s="24"/>
      <c r="H50" s="22"/>
      <c r="I50" s="106"/>
      <c r="J50" s="37">
        <f t="shared" si="5"/>
        <v>0</v>
      </c>
      <c r="K50" s="37">
        <f t="shared" si="6"/>
        <v>0</v>
      </c>
      <c r="L50" s="37">
        <f t="shared" si="7"/>
        <v>0</v>
      </c>
    </row>
    <row r="51" spans="1:12" x14ac:dyDescent="0.2">
      <c r="A51" s="20" t="s">
        <v>1159</v>
      </c>
      <c r="B51" s="20" t="s">
        <v>32</v>
      </c>
      <c r="C51" s="21">
        <f t="shared" si="4"/>
        <v>1</v>
      </c>
      <c r="D51" s="20" t="s">
        <v>1129</v>
      </c>
      <c r="E51" s="20" t="s">
        <v>1130</v>
      </c>
      <c r="F51" s="104">
        <v>1</v>
      </c>
      <c r="G51" s="24"/>
      <c r="H51" s="105"/>
      <c r="I51" s="24"/>
      <c r="J51" s="37">
        <f>IF(ISBLANK(F51),0,F51)*I51</f>
        <v>0</v>
      </c>
      <c r="K51" s="37">
        <f t="shared" si="6"/>
        <v>0</v>
      </c>
      <c r="L51" s="37">
        <f t="shared" si="7"/>
        <v>0</v>
      </c>
    </row>
    <row r="52" spans="1:12" x14ac:dyDescent="0.2">
      <c r="A52" s="25" t="s">
        <v>1160</v>
      </c>
      <c r="B52" s="25" t="s">
        <v>28</v>
      </c>
      <c r="C52" s="26">
        <f t="shared" si="4"/>
        <v>6</v>
      </c>
      <c r="D52" s="25" t="s">
        <v>1161</v>
      </c>
      <c r="E52" s="25" t="s">
        <v>1092</v>
      </c>
      <c r="F52" s="107">
        <v>35.58</v>
      </c>
      <c r="G52" s="29"/>
      <c r="H52" s="27"/>
      <c r="I52" s="108"/>
      <c r="J52" s="41">
        <f>IF(ISBLANK(H52),0,F52 / H52 * G52)</f>
        <v>0</v>
      </c>
      <c r="K52" s="41">
        <f t="shared" si="6"/>
        <v>0</v>
      </c>
      <c r="L52" s="41">
        <f t="shared" si="7"/>
        <v>0</v>
      </c>
    </row>
    <row r="53" spans="1:12" x14ac:dyDescent="0.2">
      <c r="A53" s="43" t="s">
        <v>1162</v>
      </c>
      <c r="B53" s="44"/>
      <c r="C53" s="44"/>
      <c r="D53" s="44"/>
      <c r="E53" s="44"/>
      <c r="F53" s="44"/>
      <c r="G53" s="44"/>
      <c r="H53" s="44"/>
      <c r="I53" s="44"/>
      <c r="J53" s="44"/>
      <c r="K53" s="46">
        <f>SUM(K25:K52)</f>
        <v>0</v>
      </c>
      <c r="L53" s="109">
        <f t="shared" si="7"/>
        <v>0</v>
      </c>
    </row>
    <row r="54" spans="1:12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1"/>
    </row>
    <row r="55" spans="1:12" x14ac:dyDescent="0.2">
      <c r="A55" s="12" t="s">
        <v>1163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</row>
    <row r="56" spans="1:12" x14ac:dyDescent="0.2">
      <c r="A56" s="15" t="s">
        <v>1164</v>
      </c>
      <c r="B56" s="15" t="s">
        <v>20</v>
      </c>
      <c r="C56" s="16">
        <f t="shared" ref="C56:C83" si="8">IF(ISBLANK(B56),0,IF(ISERROR(VALUE(B56)),VLOOKUP(B56,dagsoorttabel1,2,FALSE)*dagenperjaar1,VALUE(B56)))</f>
        <v>70</v>
      </c>
      <c r="D56" s="15" t="s">
        <v>1103</v>
      </c>
      <c r="E56" s="15" t="s">
        <v>1092</v>
      </c>
      <c r="F56" s="102">
        <v>29.2</v>
      </c>
      <c r="G56" s="19"/>
      <c r="H56" s="17"/>
      <c r="I56" s="110"/>
      <c r="J56" s="33">
        <f t="shared" ref="J56:J81" si="9">IF(ISBLANK(H56),0,F56 / H56 * G56)</f>
        <v>0</v>
      </c>
      <c r="K56" s="33">
        <f t="shared" ref="K56:K83" si="10">C56*J56</f>
        <v>0</v>
      </c>
      <c r="L56" s="33">
        <f t="shared" ref="L56:L84" si="11">K56/12</f>
        <v>0</v>
      </c>
    </row>
    <row r="57" spans="1:12" x14ac:dyDescent="0.2">
      <c r="A57" s="20" t="s">
        <v>1165</v>
      </c>
      <c r="B57" s="20" t="s">
        <v>20</v>
      </c>
      <c r="C57" s="21">
        <f t="shared" si="8"/>
        <v>70</v>
      </c>
      <c r="D57" s="20" t="s">
        <v>1136</v>
      </c>
      <c r="E57" s="20" t="s">
        <v>1092</v>
      </c>
      <c r="F57" s="104">
        <v>20</v>
      </c>
      <c r="G57" s="24"/>
      <c r="H57" s="22"/>
      <c r="I57" s="106"/>
      <c r="J57" s="37">
        <f t="shared" si="9"/>
        <v>0</v>
      </c>
      <c r="K57" s="37">
        <f t="shared" si="10"/>
        <v>0</v>
      </c>
      <c r="L57" s="37">
        <f t="shared" si="11"/>
        <v>0</v>
      </c>
    </row>
    <row r="58" spans="1:12" x14ac:dyDescent="0.2">
      <c r="A58" s="20" t="s">
        <v>1166</v>
      </c>
      <c r="B58" s="20" t="s">
        <v>20</v>
      </c>
      <c r="C58" s="21">
        <f t="shared" si="8"/>
        <v>70</v>
      </c>
      <c r="D58" s="20" t="s">
        <v>1138</v>
      </c>
      <c r="E58" s="20" t="s">
        <v>1092</v>
      </c>
      <c r="F58" s="104">
        <v>90.7</v>
      </c>
      <c r="G58" s="24"/>
      <c r="H58" s="22"/>
      <c r="I58" s="106"/>
      <c r="J58" s="37">
        <f t="shared" si="9"/>
        <v>0</v>
      </c>
      <c r="K58" s="37">
        <f t="shared" si="10"/>
        <v>0</v>
      </c>
      <c r="L58" s="37">
        <f t="shared" si="11"/>
        <v>0</v>
      </c>
    </row>
    <row r="59" spans="1:12" x14ac:dyDescent="0.2">
      <c r="A59" s="20" t="s">
        <v>1167</v>
      </c>
      <c r="B59" s="20" t="s">
        <v>24</v>
      </c>
      <c r="C59" s="21">
        <f t="shared" si="8"/>
        <v>35</v>
      </c>
      <c r="D59" s="20" t="s">
        <v>1105</v>
      </c>
      <c r="E59" s="20" t="s">
        <v>1092</v>
      </c>
      <c r="F59" s="104">
        <v>97.8</v>
      </c>
      <c r="G59" s="24"/>
      <c r="H59" s="22"/>
      <c r="I59" s="106"/>
      <c r="J59" s="37">
        <f t="shared" si="9"/>
        <v>0</v>
      </c>
      <c r="K59" s="37">
        <f t="shared" si="10"/>
        <v>0</v>
      </c>
      <c r="L59" s="37">
        <f t="shared" si="11"/>
        <v>0</v>
      </c>
    </row>
    <row r="60" spans="1:12" x14ac:dyDescent="0.2">
      <c r="A60" s="20" t="s">
        <v>1167</v>
      </c>
      <c r="B60" s="20" t="s">
        <v>20</v>
      </c>
      <c r="C60" s="21">
        <f t="shared" si="8"/>
        <v>70</v>
      </c>
      <c r="D60" s="20" t="s">
        <v>1105</v>
      </c>
      <c r="E60" s="20" t="s">
        <v>1092</v>
      </c>
      <c r="F60" s="104">
        <v>440.86</v>
      </c>
      <c r="G60" s="24"/>
      <c r="H60" s="22"/>
      <c r="I60" s="106"/>
      <c r="J60" s="37">
        <f t="shared" si="9"/>
        <v>0</v>
      </c>
      <c r="K60" s="37">
        <f t="shared" si="10"/>
        <v>0</v>
      </c>
      <c r="L60" s="37">
        <f t="shared" si="11"/>
        <v>0</v>
      </c>
    </row>
    <row r="61" spans="1:12" x14ac:dyDescent="0.2">
      <c r="A61" s="20" t="s">
        <v>1168</v>
      </c>
      <c r="B61" s="20" t="s">
        <v>20</v>
      </c>
      <c r="C61" s="21">
        <f t="shared" si="8"/>
        <v>70</v>
      </c>
      <c r="D61" s="20" t="s">
        <v>1141</v>
      </c>
      <c r="E61" s="20" t="s">
        <v>1092</v>
      </c>
      <c r="F61" s="104">
        <v>68.5</v>
      </c>
      <c r="G61" s="24"/>
      <c r="H61" s="22"/>
      <c r="I61" s="106"/>
      <c r="J61" s="37">
        <f t="shared" si="9"/>
        <v>0</v>
      </c>
      <c r="K61" s="37">
        <f t="shared" si="10"/>
        <v>0</v>
      </c>
      <c r="L61" s="37">
        <f t="shared" si="11"/>
        <v>0</v>
      </c>
    </row>
    <row r="62" spans="1:12" x14ac:dyDescent="0.2">
      <c r="A62" s="20" t="s">
        <v>1169</v>
      </c>
      <c r="B62" s="20" t="s">
        <v>24</v>
      </c>
      <c r="C62" s="21">
        <f t="shared" si="8"/>
        <v>35</v>
      </c>
      <c r="D62" s="20" t="s">
        <v>1107</v>
      </c>
      <c r="E62" s="20" t="s">
        <v>1092</v>
      </c>
      <c r="F62" s="104">
        <v>61.550000000000011</v>
      </c>
      <c r="G62" s="24"/>
      <c r="H62" s="22"/>
      <c r="I62" s="106"/>
      <c r="J62" s="37">
        <f t="shared" si="9"/>
        <v>0</v>
      </c>
      <c r="K62" s="37">
        <f t="shared" si="10"/>
        <v>0</v>
      </c>
      <c r="L62" s="37">
        <f t="shared" si="11"/>
        <v>0</v>
      </c>
    </row>
    <row r="63" spans="1:12" x14ac:dyDescent="0.2">
      <c r="A63" s="20" t="s">
        <v>1169</v>
      </c>
      <c r="B63" s="20" t="s">
        <v>20</v>
      </c>
      <c r="C63" s="21">
        <f t="shared" si="8"/>
        <v>70</v>
      </c>
      <c r="D63" s="20" t="s">
        <v>1107</v>
      </c>
      <c r="E63" s="20" t="s">
        <v>1092</v>
      </c>
      <c r="F63" s="104">
        <v>688.1</v>
      </c>
      <c r="G63" s="24"/>
      <c r="H63" s="22"/>
      <c r="I63" s="106"/>
      <c r="J63" s="37">
        <f t="shared" si="9"/>
        <v>0</v>
      </c>
      <c r="K63" s="37">
        <f t="shared" si="10"/>
        <v>0</v>
      </c>
      <c r="L63" s="37">
        <f t="shared" si="11"/>
        <v>0</v>
      </c>
    </row>
    <row r="64" spans="1:12" x14ac:dyDescent="0.2">
      <c r="A64" s="20" t="s">
        <v>1170</v>
      </c>
      <c r="B64" s="20" t="s">
        <v>20</v>
      </c>
      <c r="C64" s="21">
        <f t="shared" si="8"/>
        <v>70</v>
      </c>
      <c r="D64" s="20" t="s">
        <v>1144</v>
      </c>
      <c r="E64" s="20" t="s">
        <v>1092</v>
      </c>
      <c r="F64" s="104">
        <v>47.5</v>
      </c>
      <c r="G64" s="24"/>
      <c r="H64" s="22"/>
      <c r="I64" s="106"/>
      <c r="J64" s="37">
        <f t="shared" si="9"/>
        <v>0</v>
      </c>
      <c r="K64" s="37">
        <f t="shared" si="10"/>
        <v>0</v>
      </c>
      <c r="L64" s="37">
        <f t="shared" si="11"/>
        <v>0</v>
      </c>
    </row>
    <row r="65" spans="1:12" x14ac:dyDescent="0.2">
      <c r="A65" s="20" t="s">
        <v>1171</v>
      </c>
      <c r="B65" s="20" t="s">
        <v>24</v>
      </c>
      <c r="C65" s="21">
        <f t="shared" si="8"/>
        <v>35</v>
      </c>
      <c r="D65" s="20" t="s">
        <v>1109</v>
      </c>
      <c r="E65" s="20" t="s">
        <v>1092</v>
      </c>
      <c r="F65" s="104">
        <v>345</v>
      </c>
      <c r="G65" s="24"/>
      <c r="H65" s="22"/>
      <c r="I65" s="106"/>
      <c r="J65" s="37">
        <f t="shared" si="9"/>
        <v>0</v>
      </c>
      <c r="K65" s="37">
        <f t="shared" si="10"/>
        <v>0</v>
      </c>
      <c r="L65" s="37">
        <f t="shared" si="11"/>
        <v>0</v>
      </c>
    </row>
    <row r="66" spans="1:12" x14ac:dyDescent="0.2">
      <c r="A66" s="20" t="s">
        <v>1172</v>
      </c>
      <c r="B66" s="20" t="s">
        <v>20</v>
      </c>
      <c r="C66" s="21">
        <f t="shared" si="8"/>
        <v>70</v>
      </c>
      <c r="D66" s="20" t="s">
        <v>1111</v>
      </c>
      <c r="E66" s="20" t="s">
        <v>1092</v>
      </c>
      <c r="F66" s="104">
        <v>1211.7</v>
      </c>
      <c r="G66" s="24"/>
      <c r="H66" s="22"/>
      <c r="I66" s="106"/>
      <c r="J66" s="37">
        <f t="shared" si="9"/>
        <v>0</v>
      </c>
      <c r="K66" s="37">
        <f t="shared" si="10"/>
        <v>0</v>
      </c>
      <c r="L66" s="37">
        <f t="shared" si="11"/>
        <v>0</v>
      </c>
    </row>
    <row r="67" spans="1:12" x14ac:dyDescent="0.2">
      <c r="A67" s="20" t="s">
        <v>1173</v>
      </c>
      <c r="B67" s="20" t="s">
        <v>20</v>
      </c>
      <c r="C67" s="21">
        <f t="shared" si="8"/>
        <v>70</v>
      </c>
      <c r="D67" s="20" t="s">
        <v>1148</v>
      </c>
      <c r="E67" s="20" t="s">
        <v>1092</v>
      </c>
      <c r="F67" s="104">
        <v>277</v>
      </c>
      <c r="G67" s="24"/>
      <c r="H67" s="22"/>
      <c r="I67" s="106"/>
      <c r="J67" s="37">
        <f t="shared" si="9"/>
        <v>0</v>
      </c>
      <c r="K67" s="37">
        <f t="shared" si="10"/>
        <v>0</v>
      </c>
      <c r="L67" s="37">
        <f t="shared" si="11"/>
        <v>0</v>
      </c>
    </row>
    <row r="68" spans="1:12" x14ac:dyDescent="0.2">
      <c r="A68" s="20" t="s">
        <v>1174</v>
      </c>
      <c r="B68" s="20" t="s">
        <v>24</v>
      </c>
      <c r="C68" s="21">
        <f t="shared" si="8"/>
        <v>35</v>
      </c>
      <c r="D68" s="20" t="s">
        <v>1113</v>
      </c>
      <c r="E68" s="20" t="s">
        <v>1092</v>
      </c>
      <c r="F68" s="104">
        <v>74</v>
      </c>
      <c r="G68" s="24"/>
      <c r="H68" s="22"/>
      <c r="I68" s="106"/>
      <c r="J68" s="37">
        <f t="shared" si="9"/>
        <v>0</v>
      </c>
      <c r="K68" s="37">
        <f t="shared" si="10"/>
        <v>0</v>
      </c>
      <c r="L68" s="37">
        <f t="shared" si="11"/>
        <v>0</v>
      </c>
    </row>
    <row r="69" spans="1:12" x14ac:dyDescent="0.2">
      <c r="A69" s="20" t="s">
        <v>1174</v>
      </c>
      <c r="B69" s="20" t="s">
        <v>20</v>
      </c>
      <c r="C69" s="21">
        <f t="shared" si="8"/>
        <v>70</v>
      </c>
      <c r="D69" s="20" t="s">
        <v>1113</v>
      </c>
      <c r="E69" s="20" t="s">
        <v>1092</v>
      </c>
      <c r="F69" s="104">
        <v>403.71</v>
      </c>
      <c r="G69" s="24"/>
      <c r="H69" s="22"/>
      <c r="I69" s="106"/>
      <c r="J69" s="37">
        <f t="shared" si="9"/>
        <v>0</v>
      </c>
      <c r="K69" s="37">
        <f t="shared" si="10"/>
        <v>0</v>
      </c>
      <c r="L69" s="37">
        <f t="shared" si="11"/>
        <v>0</v>
      </c>
    </row>
    <row r="70" spans="1:12" x14ac:dyDescent="0.2">
      <c r="A70" s="20" t="s">
        <v>1175</v>
      </c>
      <c r="B70" s="20" t="s">
        <v>24</v>
      </c>
      <c r="C70" s="21">
        <f t="shared" si="8"/>
        <v>35</v>
      </c>
      <c r="D70" s="20" t="s">
        <v>1115</v>
      </c>
      <c r="E70" s="20" t="s">
        <v>1092</v>
      </c>
      <c r="F70" s="112"/>
      <c r="G70" s="24"/>
      <c r="H70" s="22"/>
      <c r="I70" s="106"/>
      <c r="J70" s="37">
        <f t="shared" si="9"/>
        <v>0</v>
      </c>
      <c r="K70" s="37">
        <f t="shared" si="10"/>
        <v>0</v>
      </c>
      <c r="L70" s="37">
        <f t="shared" si="11"/>
        <v>0</v>
      </c>
    </row>
    <row r="71" spans="1:12" x14ac:dyDescent="0.2">
      <c r="A71" s="20" t="s">
        <v>1175</v>
      </c>
      <c r="B71" s="20" t="s">
        <v>20</v>
      </c>
      <c r="C71" s="21">
        <f t="shared" si="8"/>
        <v>70</v>
      </c>
      <c r="D71" s="20" t="s">
        <v>1115</v>
      </c>
      <c r="E71" s="20" t="s">
        <v>1092</v>
      </c>
      <c r="F71" s="104">
        <v>164.89999999999998</v>
      </c>
      <c r="G71" s="24"/>
      <c r="H71" s="22"/>
      <c r="I71" s="106"/>
      <c r="J71" s="37">
        <f t="shared" si="9"/>
        <v>0</v>
      </c>
      <c r="K71" s="37">
        <f t="shared" si="10"/>
        <v>0</v>
      </c>
      <c r="L71" s="37">
        <f t="shared" si="11"/>
        <v>0</v>
      </c>
    </row>
    <row r="72" spans="1:12" x14ac:dyDescent="0.2">
      <c r="A72" s="20" t="s">
        <v>1176</v>
      </c>
      <c r="B72" s="20" t="s">
        <v>24</v>
      </c>
      <c r="C72" s="21">
        <f t="shared" si="8"/>
        <v>35</v>
      </c>
      <c r="D72" s="20" t="s">
        <v>1117</v>
      </c>
      <c r="E72" s="20" t="s">
        <v>1092</v>
      </c>
      <c r="F72" s="104">
        <v>170.29999999999998</v>
      </c>
      <c r="G72" s="24"/>
      <c r="H72" s="22"/>
      <c r="I72" s="106"/>
      <c r="J72" s="37">
        <f t="shared" si="9"/>
        <v>0</v>
      </c>
      <c r="K72" s="37">
        <f t="shared" si="10"/>
        <v>0</v>
      </c>
      <c r="L72" s="37">
        <f t="shared" si="11"/>
        <v>0</v>
      </c>
    </row>
    <row r="73" spans="1:12" x14ac:dyDescent="0.2">
      <c r="A73" s="20" t="s">
        <v>1176</v>
      </c>
      <c r="B73" s="20" t="s">
        <v>20</v>
      </c>
      <c r="C73" s="21">
        <f t="shared" si="8"/>
        <v>70</v>
      </c>
      <c r="D73" s="20" t="s">
        <v>1117</v>
      </c>
      <c r="E73" s="20" t="s">
        <v>1092</v>
      </c>
      <c r="F73" s="104">
        <v>70.3</v>
      </c>
      <c r="G73" s="24"/>
      <c r="H73" s="22"/>
      <c r="I73" s="106"/>
      <c r="J73" s="37">
        <f t="shared" si="9"/>
        <v>0</v>
      </c>
      <c r="K73" s="37">
        <f t="shared" si="10"/>
        <v>0</v>
      </c>
      <c r="L73" s="37">
        <f t="shared" si="11"/>
        <v>0</v>
      </c>
    </row>
    <row r="74" spans="1:12" x14ac:dyDescent="0.2">
      <c r="A74" s="20" t="s">
        <v>1177</v>
      </c>
      <c r="B74" s="20" t="s">
        <v>24</v>
      </c>
      <c r="C74" s="21">
        <f t="shared" si="8"/>
        <v>35</v>
      </c>
      <c r="D74" s="20" t="s">
        <v>1119</v>
      </c>
      <c r="E74" s="20" t="s">
        <v>1092</v>
      </c>
      <c r="F74" s="104">
        <v>84.45</v>
      </c>
      <c r="G74" s="24"/>
      <c r="H74" s="22"/>
      <c r="I74" s="106"/>
      <c r="J74" s="37">
        <f t="shared" si="9"/>
        <v>0</v>
      </c>
      <c r="K74" s="37">
        <f t="shared" si="10"/>
        <v>0</v>
      </c>
      <c r="L74" s="37">
        <f t="shared" si="11"/>
        <v>0</v>
      </c>
    </row>
    <row r="75" spans="1:12" x14ac:dyDescent="0.2">
      <c r="A75" s="20" t="s">
        <v>1178</v>
      </c>
      <c r="B75" s="20" t="s">
        <v>20</v>
      </c>
      <c r="C75" s="21">
        <f t="shared" si="8"/>
        <v>70</v>
      </c>
      <c r="D75" s="20" t="s">
        <v>1154</v>
      </c>
      <c r="E75" s="20" t="s">
        <v>1092</v>
      </c>
      <c r="F75" s="104">
        <v>96.2</v>
      </c>
      <c r="G75" s="24"/>
      <c r="H75" s="22"/>
      <c r="I75" s="106"/>
      <c r="J75" s="37">
        <f t="shared" si="9"/>
        <v>0</v>
      </c>
      <c r="K75" s="37">
        <f t="shared" si="10"/>
        <v>0</v>
      </c>
      <c r="L75" s="37">
        <f t="shared" si="11"/>
        <v>0</v>
      </c>
    </row>
    <row r="76" spans="1:12" x14ac:dyDescent="0.2">
      <c r="A76" s="20" t="s">
        <v>1179</v>
      </c>
      <c r="B76" s="20" t="s">
        <v>24</v>
      </c>
      <c r="C76" s="21">
        <f t="shared" si="8"/>
        <v>35</v>
      </c>
      <c r="D76" s="20" t="s">
        <v>1121</v>
      </c>
      <c r="E76" s="20" t="s">
        <v>1092</v>
      </c>
      <c r="F76" s="104">
        <v>3</v>
      </c>
      <c r="G76" s="24"/>
      <c r="H76" s="22"/>
      <c r="I76" s="106"/>
      <c r="J76" s="37">
        <f t="shared" si="9"/>
        <v>0</v>
      </c>
      <c r="K76" s="37">
        <f t="shared" si="10"/>
        <v>0</v>
      </c>
      <c r="L76" s="37">
        <f t="shared" si="11"/>
        <v>0</v>
      </c>
    </row>
    <row r="77" spans="1:12" x14ac:dyDescent="0.2">
      <c r="A77" s="20" t="s">
        <v>1180</v>
      </c>
      <c r="B77" s="20" t="s">
        <v>24</v>
      </c>
      <c r="C77" s="21">
        <f t="shared" si="8"/>
        <v>35</v>
      </c>
      <c r="D77" s="20" t="s">
        <v>1123</v>
      </c>
      <c r="E77" s="20" t="s">
        <v>1092</v>
      </c>
      <c r="F77" s="104">
        <v>211</v>
      </c>
      <c r="G77" s="24"/>
      <c r="H77" s="22"/>
      <c r="I77" s="106"/>
      <c r="J77" s="37">
        <f t="shared" si="9"/>
        <v>0</v>
      </c>
      <c r="K77" s="37">
        <f t="shared" si="10"/>
        <v>0</v>
      </c>
      <c r="L77" s="37">
        <f t="shared" si="11"/>
        <v>0</v>
      </c>
    </row>
    <row r="78" spans="1:12" x14ac:dyDescent="0.2">
      <c r="A78" s="20" t="s">
        <v>1180</v>
      </c>
      <c r="B78" s="20" t="s">
        <v>20</v>
      </c>
      <c r="C78" s="21">
        <f t="shared" si="8"/>
        <v>70</v>
      </c>
      <c r="D78" s="20" t="s">
        <v>1123</v>
      </c>
      <c r="E78" s="20" t="s">
        <v>1092</v>
      </c>
      <c r="F78" s="104">
        <v>3610.2</v>
      </c>
      <c r="G78" s="24"/>
      <c r="H78" s="22"/>
      <c r="I78" s="106"/>
      <c r="J78" s="37">
        <f t="shared" si="9"/>
        <v>0</v>
      </c>
      <c r="K78" s="37">
        <f t="shared" si="10"/>
        <v>0</v>
      </c>
      <c r="L78" s="37">
        <f t="shared" si="11"/>
        <v>0</v>
      </c>
    </row>
    <row r="79" spans="1:12" x14ac:dyDescent="0.2">
      <c r="A79" s="20" t="s">
        <v>1181</v>
      </c>
      <c r="B79" s="20" t="s">
        <v>24</v>
      </c>
      <c r="C79" s="21">
        <f t="shared" si="8"/>
        <v>35</v>
      </c>
      <c r="D79" s="20" t="s">
        <v>1125</v>
      </c>
      <c r="E79" s="20" t="s">
        <v>1092</v>
      </c>
      <c r="F79" s="104">
        <v>334.29999999999995</v>
      </c>
      <c r="G79" s="24"/>
      <c r="H79" s="22"/>
      <c r="I79" s="106"/>
      <c r="J79" s="37">
        <f t="shared" si="9"/>
        <v>0</v>
      </c>
      <c r="K79" s="37">
        <f t="shared" si="10"/>
        <v>0</v>
      </c>
      <c r="L79" s="37">
        <f t="shared" si="11"/>
        <v>0</v>
      </c>
    </row>
    <row r="80" spans="1:12" x14ac:dyDescent="0.2">
      <c r="A80" s="20" t="s">
        <v>1181</v>
      </c>
      <c r="B80" s="20" t="s">
        <v>20</v>
      </c>
      <c r="C80" s="21">
        <f t="shared" si="8"/>
        <v>70</v>
      </c>
      <c r="D80" s="20" t="s">
        <v>1125</v>
      </c>
      <c r="E80" s="20" t="s">
        <v>1092</v>
      </c>
      <c r="F80" s="104">
        <v>2299.1999999999998</v>
      </c>
      <c r="G80" s="24"/>
      <c r="H80" s="22"/>
      <c r="I80" s="106"/>
      <c r="J80" s="37">
        <f t="shared" si="9"/>
        <v>0</v>
      </c>
      <c r="K80" s="37">
        <f t="shared" si="10"/>
        <v>0</v>
      </c>
      <c r="L80" s="37">
        <f t="shared" si="11"/>
        <v>0</v>
      </c>
    </row>
    <row r="81" spans="1:12" x14ac:dyDescent="0.2">
      <c r="A81" s="20" t="s">
        <v>1182</v>
      </c>
      <c r="B81" s="20" t="s">
        <v>24</v>
      </c>
      <c r="C81" s="21">
        <f t="shared" si="8"/>
        <v>35</v>
      </c>
      <c r="D81" s="20" t="s">
        <v>1127</v>
      </c>
      <c r="E81" s="20" t="s">
        <v>1092</v>
      </c>
      <c r="F81" s="104">
        <v>16</v>
      </c>
      <c r="G81" s="24"/>
      <c r="H81" s="22"/>
      <c r="I81" s="106"/>
      <c r="J81" s="37">
        <f t="shared" si="9"/>
        <v>0</v>
      </c>
      <c r="K81" s="37">
        <f t="shared" si="10"/>
        <v>0</v>
      </c>
      <c r="L81" s="37">
        <f t="shared" si="11"/>
        <v>0</v>
      </c>
    </row>
    <row r="82" spans="1:12" x14ac:dyDescent="0.2">
      <c r="A82" s="20" t="s">
        <v>1183</v>
      </c>
      <c r="B82" s="20" t="s">
        <v>25</v>
      </c>
      <c r="C82" s="21">
        <f t="shared" si="8"/>
        <v>26</v>
      </c>
      <c r="D82" s="20" t="s">
        <v>1129</v>
      </c>
      <c r="E82" s="20" t="s">
        <v>1130</v>
      </c>
      <c r="F82" s="104">
        <v>5</v>
      </c>
      <c r="G82" s="24"/>
      <c r="H82" s="105"/>
      <c r="I82" s="24"/>
      <c r="J82" s="37">
        <f>IF(ISBLANK(F82),0,F82)*I82</f>
        <v>0</v>
      </c>
      <c r="K82" s="37">
        <f t="shared" si="10"/>
        <v>0</v>
      </c>
      <c r="L82" s="37">
        <f t="shared" si="11"/>
        <v>0</v>
      </c>
    </row>
    <row r="83" spans="1:12" x14ac:dyDescent="0.2">
      <c r="A83" s="25" t="s">
        <v>1184</v>
      </c>
      <c r="B83" s="25" t="s">
        <v>20</v>
      </c>
      <c r="C83" s="26">
        <f t="shared" si="8"/>
        <v>70</v>
      </c>
      <c r="D83" s="25" t="s">
        <v>1161</v>
      </c>
      <c r="E83" s="25" t="s">
        <v>1092</v>
      </c>
      <c r="F83" s="107">
        <v>35.58</v>
      </c>
      <c r="G83" s="29"/>
      <c r="H83" s="27"/>
      <c r="I83" s="108"/>
      <c r="J83" s="41">
        <f>IF(ISBLANK(H83),0,F83 / H83 * G83)</f>
        <v>0</v>
      </c>
      <c r="K83" s="41">
        <f t="shared" si="10"/>
        <v>0</v>
      </c>
      <c r="L83" s="41">
        <f t="shared" si="11"/>
        <v>0</v>
      </c>
    </row>
    <row r="84" spans="1:12" x14ac:dyDescent="0.2">
      <c r="A84" s="43" t="s">
        <v>1185</v>
      </c>
      <c r="B84" s="44"/>
      <c r="C84" s="44"/>
      <c r="D84" s="44"/>
      <c r="E84" s="44"/>
      <c r="F84" s="44"/>
      <c r="G84" s="44"/>
      <c r="H84" s="44"/>
      <c r="I84" s="44"/>
      <c r="J84" s="44"/>
      <c r="K84" s="46">
        <f>SUM(K56:K83)</f>
        <v>0</v>
      </c>
      <c r="L84" s="109">
        <f t="shared" si="11"/>
        <v>0</v>
      </c>
    </row>
    <row r="86" spans="1:12" x14ac:dyDescent="0.2">
      <c r="A86" s="43" t="s">
        <v>1186</v>
      </c>
      <c r="B86" s="44"/>
      <c r="C86" s="44"/>
      <c r="D86" s="44"/>
      <c r="E86" s="44"/>
      <c r="F86" s="44"/>
      <c r="G86" s="44"/>
      <c r="H86" s="44"/>
      <c r="I86" s="44"/>
      <c r="J86" s="44"/>
      <c r="K86" s="46">
        <f>prijsjaarafroep1+prijsjaarafroep2+prijsjaarafroep3</f>
        <v>0</v>
      </c>
      <c r="L86" s="109">
        <f>K86/12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69D6-D4AE-4A6C-A055-116C79D67A1D}">
  <dimension ref="A1:E88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1.9: ",tabeltype," afroep incidenteel")</f>
        <v>Bijlage 1.9: Invultabel afroep incidenteel</v>
      </c>
    </row>
    <row r="3" spans="1:5" ht="38.25" x14ac:dyDescent="0.2">
      <c r="A3" s="8" t="s">
        <v>1042</v>
      </c>
      <c r="B3" s="8" t="s">
        <v>36</v>
      </c>
      <c r="C3" s="8" t="s">
        <v>39</v>
      </c>
      <c r="D3" s="8" t="s">
        <v>1187</v>
      </c>
      <c r="E3" s="8" t="s">
        <v>1047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41</v>
      </c>
      <c r="B5" s="13"/>
      <c r="C5" s="13"/>
      <c r="D5" s="13"/>
      <c r="E5" s="14"/>
    </row>
    <row r="6" spans="1:5" x14ac:dyDescent="0.2">
      <c r="A6" s="15" t="s">
        <v>1188</v>
      </c>
      <c r="B6" s="15" t="s">
        <v>1189</v>
      </c>
      <c r="C6" s="15" t="s">
        <v>1051</v>
      </c>
      <c r="D6" s="15" t="s">
        <v>1190</v>
      </c>
      <c r="E6" s="19"/>
    </row>
    <row r="7" spans="1:5" x14ac:dyDescent="0.2">
      <c r="A7" s="20" t="s">
        <v>1191</v>
      </c>
      <c r="B7" s="20" t="s">
        <v>1189</v>
      </c>
      <c r="C7" s="20" t="s">
        <v>1051</v>
      </c>
      <c r="D7" s="20" t="s">
        <v>1192</v>
      </c>
      <c r="E7" s="24"/>
    </row>
    <row r="8" spans="1:5" x14ac:dyDescent="0.2">
      <c r="A8" s="20" t="s">
        <v>1193</v>
      </c>
      <c r="B8" s="20" t="s">
        <v>1189</v>
      </c>
      <c r="C8" s="20" t="s">
        <v>1051</v>
      </c>
      <c r="D8" s="20" t="s">
        <v>1194</v>
      </c>
      <c r="E8" s="24"/>
    </row>
    <row r="9" spans="1:5" x14ac:dyDescent="0.2">
      <c r="A9" s="20" t="s">
        <v>1195</v>
      </c>
      <c r="B9" s="20" t="s">
        <v>1189</v>
      </c>
      <c r="C9" s="20" t="s">
        <v>1051</v>
      </c>
      <c r="D9" s="20" t="s">
        <v>1196</v>
      </c>
      <c r="E9" s="24"/>
    </row>
    <row r="10" spans="1:5" x14ac:dyDescent="0.2">
      <c r="A10" s="20" t="s">
        <v>1197</v>
      </c>
      <c r="B10" s="20" t="s">
        <v>1198</v>
      </c>
      <c r="C10" s="20" t="s">
        <v>1051</v>
      </c>
      <c r="D10" s="20" t="s">
        <v>1190</v>
      </c>
      <c r="E10" s="24"/>
    </row>
    <row r="11" spans="1:5" x14ac:dyDescent="0.2">
      <c r="A11" s="20" t="s">
        <v>1199</v>
      </c>
      <c r="B11" s="20" t="s">
        <v>1198</v>
      </c>
      <c r="C11" s="20" t="s">
        <v>1051</v>
      </c>
      <c r="D11" s="20" t="s">
        <v>1192</v>
      </c>
      <c r="E11" s="24"/>
    </row>
    <row r="12" spans="1:5" x14ac:dyDescent="0.2">
      <c r="A12" s="20" t="s">
        <v>1200</v>
      </c>
      <c r="B12" s="20" t="s">
        <v>1198</v>
      </c>
      <c r="C12" s="20" t="s">
        <v>1051</v>
      </c>
      <c r="D12" s="20" t="s">
        <v>1194</v>
      </c>
      <c r="E12" s="24"/>
    </row>
    <row r="13" spans="1:5" x14ac:dyDescent="0.2">
      <c r="A13" s="20" t="s">
        <v>1201</v>
      </c>
      <c r="B13" s="20" t="s">
        <v>1198</v>
      </c>
      <c r="C13" s="20" t="s">
        <v>1051</v>
      </c>
      <c r="D13" s="20" t="s">
        <v>1196</v>
      </c>
      <c r="E13" s="24"/>
    </row>
    <row r="14" spans="1:5" x14ac:dyDescent="0.2">
      <c r="A14" s="20" t="s">
        <v>1202</v>
      </c>
      <c r="B14" s="20" t="s">
        <v>1203</v>
      </c>
      <c r="C14" s="20" t="s">
        <v>1051</v>
      </c>
      <c r="D14" s="20" t="s">
        <v>1190</v>
      </c>
      <c r="E14" s="24"/>
    </row>
    <row r="15" spans="1:5" x14ac:dyDescent="0.2">
      <c r="A15" s="20" t="s">
        <v>1204</v>
      </c>
      <c r="B15" s="20" t="s">
        <v>1203</v>
      </c>
      <c r="C15" s="20" t="s">
        <v>1051</v>
      </c>
      <c r="D15" s="20" t="s">
        <v>1192</v>
      </c>
      <c r="E15" s="24"/>
    </row>
    <row r="16" spans="1:5" x14ac:dyDescent="0.2">
      <c r="A16" s="20" t="s">
        <v>1205</v>
      </c>
      <c r="B16" s="20" t="s">
        <v>1203</v>
      </c>
      <c r="C16" s="20" t="s">
        <v>1051</v>
      </c>
      <c r="D16" s="20" t="s">
        <v>1194</v>
      </c>
      <c r="E16" s="24"/>
    </row>
    <row r="17" spans="1:5" x14ac:dyDescent="0.2">
      <c r="A17" s="20" t="s">
        <v>1206</v>
      </c>
      <c r="B17" s="20" t="s">
        <v>1203</v>
      </c>
      <c r="C17" s="20" t="s">
        <v>1051</v>
      </c>
      <c r="D17" s="20" t="s">
        <v>1196</v>
      </c>
      <c r="E17" s="24"/>
    </row>
    <row r="18" spans="1:5" x14ac:dyDescent="0.2">
      <c r="A18" s="20" t="s">
        <v>1207</v>
      </c>
      <c r="B18" s="20" t="s">
        <v>1208</v>
      </c>
      <c r="C18" s="20" t="s">
        <v>1209</v>
      </c>
      <c r="D18" s="20" t="s">
        <v>1210</v>
      </c>
      <c r="E18" s="24"/>
    </row>
    <row r="19" spans="1:5" x14ac:dyDescent="0.2">
      <c r="A19" s="20" t="s">
        <v>1211</v>
      </c>
      <c r="B19" s="20" t="s">
        <v>1208</v>
      </c>
      <c r="C19" s="20" t="s">
        <v>1209</v>
      </c>
      <c r="D19" s="20" t="s">
        <v>1212</v>
      </c>
      <c r="E19" s="24"/>
    </row>
    <row r="20" spans="1:5" x14ac:dyDescent="0.2">
      <c r="A20" s="20" t="s">
        <v>1213</v>
      </c>
      <c r="B20" s="20" t="s">
        <v>1208</v>
      </c>
      <c r="C20" s="20" t="s">
        <v>1209</v>
      </c>
      <c r="D20" s="20" t="s">
        <v>1214</v>
      </c>
      <c r="E20" s="24"/>
    </row>
    <row r="21" spans="1:5" x14ac:dyDescent="0.2">
      <c r="A21" s="20" t="s">
        <v>1215</v>
      </c>
      <c r="B21" s="20" t="s">
        <v>1208</v>
      </c>
      <c r="C21" s="20" t="s">
        <v>1209</v>
      </c>
      <c r="D21" s="20" t="s">
        <v>1216</v>
      </c>
      <c r="E21" s="24"/>
    </row>
    <row r="22" spans="1:5" x14ac:dyDescent="0.2">
      <c r="A22" s="20" t="s">
        <v>1217</v>
      </c>
      <c r="B22" s="20" t="s">
        <v>1218</v>
      </c>
      <c r="C22" s="20" t="s">
        <v>1209</v>
      </c>
      <c r="D22" s="20" t="s">
        <v>1210</v>
      </c>
      <c r="E22" s="24"/>
    </row>
    <row r="23" spans="1:5" x14ac:dyDescent="0.2">
      <c r="A23" s="20" t="s">
        <v>1219</v>
      </c>
      <c r="B23" s="20" t="s">
        <v>1218</v>
      </c>
      <c r="C23" s="20" t="s">
        <v>1209</v>
      </c>
      <c r="D23" s="20" t="s">
        <v>1212</v>
      </c>
      <c r="E23" s="24"/>
    </row>
    <row r="24" spans="1:5" x14ac:dyDescent="0.2">
      <c r="A24" s="20" t="s">
        <v>1220</v>
      </c>
      <c r="B24" s="20" t="s">
        <v>1218</v>
      </c>
      <c r="C24" s="20" t="s">
        <v>1209</v>
      </c>
      <c r="D24" s="20" t="s">
        <v>1214</v>
      </c>
      <c r="E24" s="24"/>
    </row>
    <row r="25" spans="1:5" x14ac:dyDescent="0.2">
      <c r="A25" s="20" t="s">
        <v>1221</v>
      </c>
      <c r="B25" s="20" t="s">
        <v>1218</v>
      </c>
      <c r="C25" s="20" t="s">
        <v>1209</v>
      </c>
      <c r="D25" s="20" t="s">
        <v>1216</v>
      </c>
      <c r="E25" s="24"/>
    </row>
    <row r="26" spans="1:5" x14ac:dyDescent="0.2">
      <c r="A26" s="20" t="s">
        <v>1222</v>
      </c>
      <c r="B26" s="20" t="s">
        <v>1223</v>
      </c>
      <c r="C26" s="20" t="s">
        <v>1209</v>
      </c>
      <c r="D26" s="20" t="s">
        <v>1210</v>
      </c>
      <c r="E26" s="24"/>
    </row>
    <row r="27" spans="1:5" x14ac:dyDescent="0.2">
      <c r="A27" s="20" t="s">
        <v>1224</v>
      </c>
      <c r="B27" s="20" t="s">
        <v>1223</v>
      </c>
      <c r="C27" s="20" t="s">
        <v>1209</v>
      </c>
      <c r="D27" s="20" t="s">
        <v>1212</v>
      </c>
      <c r="E27" s="24"/>
    </row>
    <row r="28" spans="1:5" x14ac:dyDescent="0.2">
      <c r="A28" s="20" t="s">
        <v>1225</v>
      </c>
      <c r="B28" s="20" t="s">
        <v>1223</v>
      </c>
      <c r="C28" s="20" t="s">
        <v>1209</v>
      </c>
      <c r="D28" s="20" t="s">
        <v>1214</v>
      </c>
      <c r="E28" s="24"/>
    </row>
    <row r="29" spans="1:5" x14ac:dyDescent="0.2">
      <c r="A29" s="20" t="s">
        <v>1226</v>
      </c>
      <c r="B29" s="20" t="s">
        <v>1223</v>
      </c>
      <c r="C29" s="20" t="s">
        <v>1209</v>
      </c>
      <c r="D29" s="20" t="s">
        <v>1216</v>
      </c>
      <c r="E29" s="24"/>
    </row>
    <row r="30" spans="1:5" x14ac:dyDescent="0.2">
      <c r="A30" s="20" t="s">
        <v>1227</v>
      </c>
      <c r="B30" s="20" t="s">
        <v>1228</v>
      </c>
      <c r="C30" s="20" t="s">
        <v>1209</v>
      </c>
      <c r="D30" s="20" t="s">
        <v>1210</v>
      </c>
      <c r="E30" s="24"/>
    </row>
    <row r="31" spans="1:5" x14ac:dyDescent="0.2">
      <c r="A31" s="20" t="s">
        <v>1229</v>
      </c>
      <c r="B31" s="20" t="s">
        <v>1228</v>
      </c>
      <c r="C31" s="20" t="s">
        <v>1209</v>
      </c>
      <c r="D31" s="20" t="s">
        <v>1212</v>
      </c>
      <c r="E31" s="24"/>
    </row>
    <row r="32" spans="1:5" x14ac:dyDescent="0.2">
      <c r="A32" s="20" t="s">
        <v>1230</v>
      </c>
      <c r="B32" s="20" t="s">
        <v>1228</v>
      </c>
      <c r="C32" s="20" t="s">
        <v>1209</v>
      </c>
      <c r="D32" s="20" t="s">
        <v>1214</v>
      </c>
      <c r="E32" s="24"/>
    </row>
    <row r="33" spans="1:5" x14ac:dyDescent="0.2">
      <c r="A33" s="20" t="s">
        <v>1231</v>
      </c>
      <c r="B33" s="20" t="s">
        <v>1228</v>
      </c>
      <c r="C33" s="20" t="s">
        <v>1209</v>
      </c>
      <c r="D33" s="20" t="s">
        <v>1216</v>
      </c>
      <c r="E33" s="24"/>
    </row>
    <row r="34" spans="1:5" x14ac:dyDescent="0.2">
      <c r="A34" s="20" t="s">
        <v>1232</v>
      </c>
      <c r="B34" s="20" t="s">
        <v>1233</v>
      </c>
      <c r="C34" s="20" t="s">
        <v>1209</v>
      </c>
      <c r="D34" s="20" t="s">
        <v>1210</v>
      </c>
      <c r="E34" s="24"/>
    </row>
    <row r="35" spans="1:5" x14ac:dyDescent="0.2">
      <c r="A35" s="20" t="s">
        <v>1234</v>
      </c>
      <c r="B35" s="20" t="s">
        <v>1233</v>
      </c>
      <c r="C35" s="20" t="s">
        <v>1209</v>
      </c>
      <c r="D35" s="20" t="s">
        <v>1212</v>
      </c>
      <c r="E35" s="24"/>
    </row>
    <row r="36" spans="1:5" x14ac:dyDescent="0.2">
      <c r="A36" s="20" t="s">
        <v>1235</v>
      </c>
      <c r="B36" s="20" t="s">
        <v>1233</v>
      </c>
      <c r="C36" s="20" t="s">
        <v>1209</v>
      </c>
      <c r="D36" s="20" t="s">
        <v>1214</v>
      </c>
      <c r="E36" s="24"/>
    </row>
    <row r="37" spans="1:5" x14ac:dyDescent="0.2">
      <c r="A37" s="20" t="s">
        <v>1236</v>
      </c>
      <c r="B37" s="20" t="s">
        <v>1233</v>
      </c>
      <c r="C37" s="20" t="s">
        <v>1209</v>
      </c>
      <c r="D37" s="20" t="s">
        <v>1216</v>
      </c>
      <c r="E37" s="24"/>
    </row>
    <row r="38" spans="1:5" x14ac:dyDescent="0.2">
      <c r="A38" s="20" t="s">
        <v>1237</v>
      </c>
      <c r="B38" s="20" t="s">
        <v>1238</v>
      </c>
      <c r="C38" s="20" t="s">
        <v>1209</v>
      </c>
      <c r="D38" s="20" t="s">
        <v>1210</v>
      </c>
      <c r="E38" s="24"/>
    </row>
    <row r="39" spans="1:5" x14ac:dyDescent="0.2">
      <c r="A39" s="20" t="s">
        <v>1239</v>
      </c>
      <c r="B39" s="20" t="s">
        <v>1238</v>
      </c>
      <c r="C39" s="20" t="s">
        <v>1209</v>
      </c>
      <c r="D39" s="20" t="s">
        <v>1212</v>
      </c>
      <c r="E39" s="24"/>
    </row>
    <row r="40" spans="1:5" x14ac:dyDescent="0.2">
      <c r="A40" s="20" t="s">
        <v>1240</v>
      </c>
      <c r="B40" s="20" t="s">
        <v>1238</v>
      </c>
      <c r="C40" s="20" t="s">
        <v>1209</v>
      </c>
      <c r="D40" s="20" t="s">
        <v>1214</v>
      </c>
      <c r="E40" s="24"/>
    </row>
    <row r="41" spans="1:5" x14ac:dyDescent="0.2">
      <c r="A41" s="20" t="s">
        <v>1241</v>
      </c>
      <c r="B41" s="20" t="s">
        <v>1238</v>
      </c>
      <c r="C41" s="20" t="s">
        <v>1209</v>
      </c>
      <c r="D41" s="20" t="s">
        <v>1216</v>
      </c>
      <c r="E41" s="24"/>
    </row>
    <row r="42" spans="1:5" x14ac:dyDescent="0.2">
      <c r="A42" s="20" t="s">
        <v>1242</v>
      </c>
      <c r="B42" s="20" t="s">
        <v>1243</v>
      </c>
      <c r="C42" s="20" t="s">
        <v>1209</v>
      </c>
      <c r="D42" s="20" t="s">
        <v>1210</v>
      </c>
      <c r="E42" s="24"/>
    </row>
    <row r="43" spans="1:5" x14ac:dyDescent="0.2">
      <c r="A43" s="20" t="s">
        <v>1244</v>
      </c>
      <c r="B43" s="20" t="s">
        <v>1243</v>
      </c>
      <c r="C43" s="20" t="s">
        <v>1209</v>
      </c>
      <c r="D43" s="20" t="s">
        <v>1212</v>
      </c>
      <c r="E43" s="24"/>
    </row>
    <row r="44" spans="1:5" x14ac:dyDescent="0.2">
      <c r="A44" s="20" t="s">
        <v>1245</v>
      </c>
      <c r="B44" s="20" t="s">
        <v>1243</v>
      </c>
      <c r="C44" s="20" t="s">
        <v>1209</v>
      </c>
      <c r="D44" s="20" t="s">
        <v>1214</v>
      </c>
      <c r="E44" s="24"/>
    </row>
    <row r="45" spans="1:5" x14ac:dyDescent="0.2">
      <c r="A45" s="20" t="s">
        <v>1246</v>
      </c>
      <c r="B45" s="20" t="s">
        <v>1243</v>
      </c>
      <c r="C45" s="20" t="s">
        <v>1209</v>
      </c>
      <c r="D45" s="20" t="s">
        <v>1216</v>
      </c>
      <c r="E45" s="24"/>
    </row>
    <row r="46" spans="1:5" x14ac:dyDescent="0.2">
      <c r="A46" s="20" t="s">
        <v>1247</v>
      </c>
      <c r="B46" s="20" t="s">
        <v>1248</v>
      </c>
      <c r="C46" s="20" t="s">
        <v>1209</v>
      </c>
      <c r="D46" s="20" t="s">
        <v>1249</v>
      </c>
      <c r="E46" s="24"/>
    </row>
    <row r="47" spans="1:5" x14ac:dyDescent="0.2">
      <c r="A47" s="20" t="s">
        <v>1250</v>
      </c>
      <c r="B47" s="20" t="s">
        <v>1248</v>
      </c>
      <c r="C47" s="20" t="s">
        <v>1209</v>
      </c>
      <c r="D47" s="20" t="s">
        <v>1251</v>
      </c>
      <c r="E47" s="24"/>
    </row>
    <row r="48" spans="1:5" x14ac:dyDescent="0.2">
      <c r="A48" s="20" t="s">
        <v>1252</v>
      </c>
      <c r="B48" s="20" t="s">
        <v>1248</v>
      </c>
      <c r="C48" s="20" t="s">
        <v>1209</v>
      </c>
      <c r="D48" s="20" t="s">
        <v>1253</v>
      </c>
      <c r="E48" s="24"/>
    </row>
    <row r="49" spans="1:5" x14ac:dyDescent="0.2">
      <c r="A49" s="20" t="s">
        <v>1254</v>
      </c>
      <c r="B49" s="20" t="s">
        <v>1248</v>
      </c>
      <c r="C49" s="20" t="s">
        <v>1209</v>
      </c>
      <c r="D49" s="20" t="s">
        <v>1255</v>
      </c>
      <c r="E49" s="24"/>
    </row>
    <row r="50" spans="1:5" x14ac:dyDescent="0.2">
      <c r="A50" s="20" t="s">
        <v>1256</v>
      </c>
      <c r="B50" s="20" t="s">
        <v>1257</v>
      </c>
      <c r="C50" s="20" t="s">
        <v>1209</v>
      </c>
      <c r="D50" s="20" t="s">
        <v>1249</v>
      </c>
      <c r="E50" s="24"/>
    </row>
    <row r="51" spans="1:5" x14ac:dyDescent="0.2">
      <c r="A51" s="20" t="s">
        <v>1258</v>
      </c>
      <c r="B51" s="20" t="s">
        <v>1257</v>
      </c>
      <c r="C51" s="20" t="s">
        <v>1209</v>
      </c>
      <c r="D51" s="20" t="s">
        <v>1251</v>
      </c>
      <c r="E51" s="24"/>
    </row>
    <row r="52" spans="1:5" x14ac:dyDescent="0.2">
      <c r="A52" s="20" t="s">
        <v>1259</v>
      </c>
      <c r="B52" s="20" t="s">
        <v>1257</v>
      </c>
      <c r="C52" s="20" t="s">
        <v>1209</v>
      </c>
      <c r="D52" s="20" t="s">
        <v>1253</v>
      </c>
      <c r="E52" s="24"/>
    </row>
    <row r="53" spans="1:5" x14ac:dyDescent="0.2">
      <c r="A53" s="20" t="s">
        <v>1260</v>
      </c>
      <c r="B53" s="20" t="s">
        <v>1257</v>
      </c>
      <c r="C53" s="20" t="s">
        <v>1209</v>
      </c>
      <c r="D53" s="20" t="s">
        <v>1255</v>
      </c>
      <c r="E53" s="24"/>
    </row>
    <row r="54" spans="1:5" x14ac:dyDescent="0.2">
      <c r="A54" s="20" t="s">
        <v>1261</v>
      </c>
      <c r="B54" s="20" t="s">
        <v>1262</v>
      </c>
      <c r="C54" s="20" t="s">
        <v>1209</v>
      </c>
      <c r="D54" s="20" t="s">
        <v>1249</v>
      </c>
      <c r="E54" s="24"/>
    </row>
    <row r="55" spans="1:5" x14ac:dyDescent="0.2">
      <c r="A55" s="20" t="s">
        <v>1263</v>
      </c>
      <c r="B55" s="20" t="s">
        <v>1262</v>
      </c>
      <c r="C55" s="20" t="s">
        <v>1209</v>
      </c>
      <c r="D55" s="20" t="s">
        <v>1251</v>
      </c>
      <c r="E55" s="24"/>
    </row>
    <row r="56" spans="1:5" x14ac:dyDescent="0.2">
      <c r="A56" s="20" t="s">
        <v>1264</v>
      </c>
      <c r="B56" s="20" t="s">
        <v>1262</v>
      </c>
      <c r="C56" s="20" t="s">
        <v>1209</v>
      </c>
      <c r="D56" s="20" t="s">
        <v>1253</v>
      </c>
      <c r="E56" s="24"/>
    </row>
    <row r="57" spans="1:5" x14ac:dyDescent="0.2">
      <c r="A57" s="20" t="s">
        <v>1265</v>
      </c>
      <c r="B57" s="20" t="s">
        <v>1262</v>
      </c>
      <c r="C57" s="20" t="s">
        <v>1209</v>
      </c>
      <c r="D57" s="20" t="s">
        <v>1255</v>
      </c>
      <c r="E57" s="24"/>
    </row>
    <row r="58" spans="1:5" x14ac:dyDescent="0.2">
      <c r="A58" s="20" t="s">
        <v>1266</v>
      </c>
      <c r="B58" s="20" t="s">
        <v>1091</v>
      </c>
      <c r="C58" s="20" t="s">
        <v>1209</v>
      </c>
      <c r="D58" s="20" t="s">
        <v>1249</v>
      </c>
      <c r="E58" s="24"/>
    </row>
    <row r="59" spans="1:5" x14ac:dyDescent="0.2">
      <c r="A59" s="20" t="s">
        <v>1267</v>
      </c>
      <c r="B59" s="20" t="s">
        <v>1091</v>
      </c>
      <c r="C59" s="20" t="s">
        <v>1209</v>
      </c>
      <c r="D59" s="20" t="s">
        <v>1251</v>
      </c>
      <c r="E59" s="24"/>
    </row>
    <row r="60" spans="1:5" x14ac:dyDescent="0.2">
      <c r="A60" s="20" t="s">
        <v>1268</v>
      </c>
      <c r="B60" s="20" t="s">
        <v>1091</v>
      </c>
      <c r="C60" s="20" t="s">
        <v>1209</v>
      </c>
      <c r="D60" s="20" t="s">
        <v>1253</v>
      </c>
      <c r="E60" s="24"/>
    </row>
    <row r="61" spans="1:5" x14ac:dyDescent="0.2">
      <c r="A61" s="20" t="s">
        <v>1269</v>
      </c>
      <c r="B61" s="20" t="s">
        <v>1091</v>
      </c>
      <c r="C61" s="20" t="s">
        <v>1209</v>
      </c>
      <c r="D61" s="20" t="s">
        <v>1255</v>
      </c>
      <c r="E61" s="24"/>
    </row>
    <row r="62" spans="1:5" x14ac:dyDescent="0.2">
      <c r="A62" s="20" t="s">
        <v>1270</v>
      </c>
      <c r="B62" s="20" t="s">
        <v>1271</v>
      </c>
      <c r="C62" s="20" t="s">
        <v>1209</v>
      </c>
      <c r="D62" s="20" t="s">
        <v>1249</v>
      </c>
      <c r="E62" s="24"/>
    </row>
    <row r="63" spans="1:5" x14ac:dyDescent="0.2">
      <c r="A63" s="20" t="s">
        <v>1272</v>
      </c>
      <c r="B63" s="20" t="s">
        <v>1271</v>
      </c>
      <c r="C63" s="20" t="s">
        <v>1209</v>
      </c>
      <c r="D63" s="20" t="s">
        <v>1251</v>
      </c>
      <c r="E63" s="24"/>
    </row>
    <row r="64" spans="1:5" x14ac:dyDescent="0.2">
      <c r="A64" s="20" t="s">
        <v>1273</v>
      </c>
      <c r="B64" s="20" t="s">
        <v>1271</v>
      </c>
      <c r="C64" s="20" t="s">
        <v>1209</v>
      </c>
      <c r="D64" s="20" t="s">
        <v>1253</v>
      </c>
      <c r="E64" s="24"/>
    </row>
    <row r="65" spans="1:5" x14ac:dyDescent="0.2">
      <c r="A65" s="20" t="s">
        <v>1274</v>
      </c>
      <c r="B65" s="20" t="s">
        <v>1271</v>
      </c>
      <c r="C65" s="20" t="s">
        <v>1209</v>
      </c>
      <c r="D65" s="20" t="s">
        <v>1255</v>
      </c>
      <c r="E65" s="24"/>
    </row>
    <row r="66" spans="1:5" x14ac:dyDescent="0.2">
      <c r="A66" s="20" t="s">
        <v>1275</v>
      </c>
      <c r="B66" s="20" t="s">
        <v>1276</v>
      </c>
      <c r="C66" s="20" t="s">
        <v>1209</v>
      </c>
      <c r="D66" s="20" t="s">
        <v>1249</v>
      </c>
      <c r="E66" s="24"/>
    </row>
    <row r="67" spans="1:5" x14ac:dyDescent="0.2">
      <c r="A67" s="20" t="s">
        <v>1277</v>
      </c>
      <c r="B67" s="20" t="s">
        <v>1276</v>
      </c>
      <c r="C67" s="20" t="s">
        <v>1209</v>
      </c>
      <c r="D67" s="20" t="s">
        <v>1251</v>
      </c>
      <c r="E67" s="24"/>
    </row>
    <row r="68" spans="1:5" x14ac:dyDescent="0.2">
      <c r="A68" s="20" t="s">
        <v>1278</v>
      </c>
      <c r="B68" s="20" t="s">
        <v>1276</v>
      </c>
      <c r="C68" s="20" t="s">
        <v>1209</v>
      </c>
      <c r="D68" s="20" t="s">
        <v>1253</v>
      </c>
      <c r="E68" s="24"/>
    </row>
    <row r="69" spans="1:5" x14ac:dyDescent="0.2">
      <c r="A69" s="20" t="s">
        <v>1279</v>
      </c>
      <c r="B69" s="20" t="s">
        <v>1276</v>
      </c>
      <c r="C69" s="20" t="s">
        <v>1209</v>
      </c>
      <c r="D69" s="20" t="s">
        <v>1255</v>
      </c>
      <c r="E69" s="24"/>
    </row>
    <row r="70" spans="1:5" x14ac:dyDescent="0.2">
      <c r="A70" s="20" t="s">
        <v>1280</v>
      </c>
      <c r="B70" s="20" t="s">
        <v>1281</v>
      </c>
      <c r="C70" s="20" t="s">
        <v>1209</v>
      </c>
      <c r="D70" s="20" t="s">
        <v>1249</v>
      </c>
      <c r="E70" s="24"/>
    </row>
    <row r="71" spans="1:5" x14ac:dyDescent="0.2">
      <c r="A71" s="20" t="s">
        <v>1282</v>
      </c>
      <c r="B71" s="20" t="s">
        <v>1281</v>
      </c>
      <c r="C71" s="20" t="s">
        <v>1209</v>
      </c>
      <c r="D71" s="20" t="s">
        <v>1251</v>
      </c>
      <c r="E71" s="24"/>
    </row>
    <row r="72" spans="1:5" x14ac:dyDescent="0.2">
      <c r="A72" s="20" t="s">
        <v>1283</v>
      </c>
      <c r="B72" s="20" t="s">
        <v>1281</v>
      </c>
      <c r="C72" s="20" t="s">
        <v>1209</v>
      </c>
      <c r="D72" s="20" t="s">
        <v>1253</v>
      </c>
      <c r="E72" s="24"/>
    </row>
    <row r="73" spans="1:5" x14ac:dyDescent="0.2">
      <c r="A73" s="20" t="s">
        <v>1284</v>
      </c>
      <c r="B73" s="20" t="s">
        <v>1281</v>
      </c>
      <c r="C73" s="20" t="s">
        <v>1209</v>
      </c>
      <c r="D73" s="20" t="s">
        <v>1255</v>
      </c>
      <c r="E73" s="24"/>
    </row>
    <row r="74" spans="1:5" x14ac:dyDescent="0.2">
      <c r="A74" s="20" t="s">
        <v>1285</v>
      </c>
      <c r="B74" s="20" t="s">
        <v>1286</v>
      </c>
      <c r="C74" s="20" t="s">
        <v>1209</v>
      </c>
      <c r="D74" s="20" t="s">
        <v>1249</v>
      </c>
      <c r="E74" s="24"/>
    </row>
    <row r="75" spans="1:5" x14ac:dyDescent="0.2">
      <c r="A75" s="20" t="s">
        <v>1287</v>
      </c>
      <c r="B75" s="20" t="s">
        <v>1286</v>
      </c>
      <c r="C75" s="20" t="s">
        <v>1209</v>
      </c>
      <c r="D75" s="20" t="s">
        <v>1251</v>
      </c>
      <c r="E75" s="24"/>
    </row>
    <row r="76" spans="1:5" x14ac:dyDescent="0.2">
      <c r="A76" s="20" t="s">
        <v>1288</v>
      </c>
      <c r="B76" s="20" t="s">
        <v>1286</v>
      </c>
      <c r="C76" s="20" t="s">
        <v>1209</v>
      </c>
      <c r="D76" s="20" t="s">
        <v>1253</v>
      </c>
      <c r="E76" s="24"/>
    </row>
    <row r="77" spans="1:5" x14ac:dyDescent="0.2">
      <c r="A77" s="20" t="s">
        <v>1289</v>
      </c>
      <c r="B77" s="20" t="s">
        <v>1286</v>
      </c>
      <c r="C77" s="20" t="s">
        <v>1209</v>
      </c>
      <c r="D77" s="20" t="s">
        <v>1255</v>
      </c>
      <c r="E77" s="24"/>
    </row>
    <row r="78" spans="1:5" x14ac:dyDescent="0.2">
      <c r="A78" s="20" t="s">
        <v>1290</v>
      </c>
      <c r="B78" s="20" t="s">
        <v>1291</v>
      </c>
      <c r="C78" s="20" t="s">
        <v>1209</v>
      </c>
      <c r="D78" s="20" t="s">
        <v>1249</v>
      </c>
      <c r="E78" s="24"/>
    </row>
    <row r="79" spans="1:5" x14ac:dyDescent="0.2">
      <c r="A79" s="20" t="s">
        <v>1292</v>
      </c>
      <c r="B79" s="20" t="s">
        <v>1291</v>
      </c>
      <c r="C79" s="20" t="s">
        <v>1209</v>
      </c>
      <c r="D79" s="20" t="s">
        <v>1251</v>
      </c>
      <c r="E79" s="24"/>
    </row>
    <row r="80" spans="1:5" x14ac:dyDescent="0.2">
      <c r="A80" s="20" t="s">
        <v>1293</v>
      </c>
      <c r="B80" s="20" t="s">
        <v>1291</v>
      </c>
      <c r="C80" s="20" t="s">
        <v>1209</v>
      </c>
      <c r="D80" s="20" t="s">
        <v>1253</v>
      </c>
      <c r="E80" s="24"/>
    </row>
    <row r="81" spans="1:5" x14ac:dyDescent="0.2">
      <c r="A81" s="20" t="s">
        <v>1294</v>
      </c>
      <c r="B81" s="20" t="s">
        <v>1291</v>
      </c>
      <c r="C81" s="20" t="s">
        <v>1209</v>
      </c>
      <c r="D81" s="20" t="s">
        <v>1255</v>
      </c>
      <c r="E81" s="24"/>
    </row>
    <row r="82" spans="1:5" x14ac:dyDescent="0.2">
      <c r="A82" s="20" t="s">
        <v>1295</v>
      </c>
      <c r="B82" s="20" t="s">
        <v>1296</v>
      </c>
      <c r="C82" s="20" t="s">
        <v>1051</v>
      </c>
      <c r="D82" s="20" t="s">
        <v>1190</v>
      </c>
      <c r="E82" s="24"/>
    </row>
    <row r="83" spans="1:5" x14ac:dyDescent="0.2">
      <c r="A83" s="20" t="s">
        <v>1297</v>
      </c>
      <c r="B83" s="20" t="s">
        <v>1296</v>
      </c>
      <c r="C83" s="20" t="s">
        <v>1051</v>
      </c>
      <c r="D83" s="20" t="s">
        <v>1192</v>
      </c>
      <c r="E83" s="24"/>
    </row>
    <row r="84" spans="1:5" x14ac:dyDescent="0.2">
      <c r="A84" s="20" t="s">
        <v>1298</v>
      </c>
      <c r="B84" s="20" t="s">
        <v>1296</v>
      </c>
      <c r="C84" s="20" t="s">
        <v>1051</v>
      </c>
      <c r="D84" s="20" t="s">
        <v>1194</v>
      </c>
      <c r="E84" s="24"/>
    </row>
    <row r="85" spans="1:5" x14ac:dyDescent="0.2">
      <c r="A85" s="25" t="s">
        <v>1299</v>
      </c>
      <c r="B85" s="25" t="s">
        <v>1296</v>
      </c>
      <c r="C85" s="25" t="s">
        <v>1051</v>
      </c>
      <c r="D85" s="25" t="s">
        <v>1196</v>
      </c>
      <c r="E85" s="29"/>
    </row>
    <row r="86" spans="1:5" x14ac:dyDescent="0.2">
      <c r="A86" s="43" t="s">
        <v>231</v>
      </c>
      <c r="B86" s="44"/>
      <c r="C86" s="44"/>
      <c r="D86" s="44"/>
      <c r="E86" s="113"/>
    </row>
    <row r="88" spans="1:5" x14ac:dyDescent="0.2">
      <c r="A88" s="43" t="s">
        <v>1300</v>
      </c>
      <c r="B88" s="44"/>
      <c r="C88" s="44"/>
      <c r="D88" s="44"/>
      <c r="E88" s="113"/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EB05-91E4-484C-A314-3A05EA85875B}">
  <dimension ref="A1:L1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1.10: ",tabeltype," regiewerk")</f>
        <v>Bijlage 1.10: Invultabel regiewerk</v>
      </c>
    </row>
    <row r="3" spans="1:12" ht="38.25" x14ac:dyDescent="0.2">
      <c r="A3" s="8" t="s">
        <v>1042</v>
      </c>
      <c r="B3" s="8" t="s">
        <v>7</v>
      </c>
      <c r="C3" s="8" t="s">
        <v>1043</v>
      </c>
      <c r="D3" s="8" t="s">
        <v>36</v>
      </c>
      <c r="E3" s="8" t="s">
        <v>39</v>
      </c>
      <c r="F3" s="8" t="s">
        <v>1044</v>
      </c>
      <c r="G3" s="8" t="s">
        <v>1045</v>
      </c>
      <c r="H3" s="8" t="s">
        <v>1046</v>
      </c>
      <c r="I3" s="8" t="s">
        <v>1047</v>
      </c>
      <c r="J3" s="8" t="s">
        <v>1048</v>
      </c>
      <c r="K3" s="8" t="s">
        <v>155</v>
      </c>
      <c r="L3" s="8" t="s">
        <v>1013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1301</v>
      </c>
      <c r="B6" s="15" t="s">
        <v>27</v>
      </c>
      <c r="C6" s="16">
        <f>IF(ISBLANK(B6),0,IF(ISERROR(VALUE(B6)),VLOOKUP(B6,dagsoorttabel1,2,FALSE)*dagenperjaar1,VALUE(B6)))</f>
        <v>12</v>
      </c>
      <c r="D6" s="15" t="s">
        <v>1302</v>
      </c>
      <c r="E6" s="15" t="s">
        <v>1130</v>
      </c>
      <c r="F6" s="102">
        <v>20</v>
      </c>
      <c r="G6" s="19"/>
      <c r="H6" s="103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1303</v>
      </c>
      <c r="B7" s="20" t="s">
        <v>27</v>
      </c>
      <c r="C7" s="21">
        <f>IF(ISBLANK(B7),0,IF(ISERROR(VALUE(B7)),VLOOKUP(B7,dagsoorttabel1,2,FALSE)*dagenperjaar1,VALUE(B7)))</f>
        <v>12</v>
      </c>
      <c r="D7" s="20" t="s">
        <v>1304</v>
      </c>
      <c r="E7" s="20" t="s">
        <v>1130</v>
      </c>
      <c r="F7" s="104">
        <v>4</v>
      </c>
      <c r="G7" s="24"/>
      <c r="H7" s="105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5" t="s">
        <v>1305</v>
      </c>
      <c r="B8" s="25" t="s">
        <v>27</v>
      </c>
      <c r="C8" s="26">
        <f>IF(ISBLANK(B8),0,IF(ISERROR(VALUE(B8)),VLOOKUP(B8,dagsoorttabel1,2,FALSE)*dagenperjaar1,VALUE(B8)))</f>
        <v>12</v>
      </c>
      <c r="D8" s="25" t="s">
        <v>1306</v>
      </c>
      <c r="E8" s="25" t="s">
        <v>1130</v>
      </c>
      <c r="F8" s="107">
        <v>2</v>
      </c>
      <c r="G8" s="29"/>
      <c r="H8" s="111"/>
      <c r="I8" s="29"/>
      <c r="J8" s="41">
        <f>IF(ISBLANK(F8),0,F8)*I8</f>
        <v>0</v>
      </c>
      <c r="K8" s="41">
        <f>C8*J8</f>
        <v>0</v>
      </c>
      <c r="L8" s="41">
        <f>K8/12</f>
        <v>0</v>
      </c>
    </row>
    <row r="9" spans="1:12" x14ac:dyDescent="0.2">
      <c r="A9" s="43" t="s">
        <v>231</v>
      </c>
      <c r="B9" s="44"/>
      <c r="C9" s="44"/>
      <c r="D9" s="44"/>
      <c r="E9" s="44"/>
      <c r="F9" s="44"/>
      <c r="G9" s="44"/>
      <c r="H9" s="44"/>
      <c r="I9" s="44"/>
      <c r="J9" s="44"/>
      <c r="K9" s="46">
        <f>SUM(K6:K8)</f>
        <v>0</v>
      </c>
      <c r="L9" s="109">
        <f>K9/12</f>
        <v>0</v>
      </c>
    </row>
    <row r="11" spans="1:12" x14ac:dyDescent="0.2">
      <c r="A11" s="43" t="s">
        <v>1307</v>
      </c>
      <c r="B11" s="44"/>
      <c r="C11" s="44"/>
      <c r="D11" s="44"/>
      <c r="E11" s="44"/>
      <c r="F11" s="44"/>
      <c r="G11" s="44"/>
      <c r="H11" s="44"/>
      <c r="I11" s="44"/>
      <c r="J11" s="44"/>
      <c r="K11" s="46">
        <f>prijsjaarregie1</f>
        <v>0</v>
      </c>
      <c r="L11" s="109">
        <f>K11/12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A6FC-0B19-41D0-937E-1CCBDA9C8E45}">
  <dimension ref="A1:L18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1.11: ",tabeltype," glas")</f>
        <v>Bijlage 1.11: Invultabel glas</v>
      </c>
    </row>
    <row r="3" spans="1:12" ht="38.25" x14ac:dyDescent="0.2">
      <c r="A3" s="8" t="s">
        <v>1042</v>
      </c>
      <c r="B3" s="8" t="s">
        <v>7</v>
      </c>
      <c r="C3" s="8" t="s">
        <v>1043</v>
      </c>
      <c r="D3" s="8" t="s">
        <v>36</v>
      </c>
      <c r="E3" s="8" t="s">
        <v>39</v>
      </c>
      <c r="F3" s="8" t="s">
        <v>1044</v>
      </c>
      <c r="G3" s="8" t="s">
        <v>1045</v>
      </c>
      <c r="H3" s="8" t="s">
        <v>1046</v>
      </c>
      <c r="I3" s="8" t="s">
        <v>1047</v>
      </c>
      <c r="J3" s="8" t="s">
        <v>1048</v>
      </c>
      <c r="K3" s="8" t="s">
        <v>155</v>
      </c>
      <c r="L3" s="8" t="s">
        <v>1013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1308</v>
      </c>
      <c r="B6" s="15" t="s">
        <v>26</v>
      </c>
      <c r="C6" s="16">
        <f t="shared" ref="C6:C15" si="0">IF(ISBLANK(B6),0,IF(ISERROR(VALUE(B6)),VLOOKUP(B6,dagsoorttabel1,2,FALSE)*dagenperjaar1,VALUE(B6)))</f>
        <v>18</v>
      </c>
      <c r="D6" s="15" t="s">
        <v>1309</v>
      </c>
      <c r="E6" s="15" t="s">
        <v>1209</v>
      </c>
      <c r="F6" s="102">
        <v>347.8</v>
      </c>
      <c r="G6" s="19"/>
      <c r="H6" s="103"/>
      <c r="I6" s="19"/>
      <c r="J6" s="33">
        <f t="shared" ref="J6:J11" si="1">IF(ISBLANK(F6),0,F6)*I6</f>
        <v>0</v>
      </c>
      <c r="K6" s="33">
        <f t="shared" ref="K6:K15" si="2">C6*J6</f>
        <v>0</v>
      </c>
      <c r="L6" s="33">
        <f t="shared" ref="L6:L16" si="3">K6/12</f>
        <v>0</v>
      </c>
    </row>
    <row r="7" spans="1:12" x14ac:dyDescent="0.2">
      <c r="A7" s="20" t="s">
        <v>1308</v>
      </c>
      <c r="B7" s="20" t="s">
        <v>30</v>
      </c>
      <c r="C7" s="21">
        <f t="shared" si="0"/>
        <v>3</v>
      </c>
      <c r="D7" s="20" t="s">
        <v>1309</v>
      </c>
      <c r="E7" s="20" t="s">
        <v>1209</v>
      </c>
      <c r="F7" s="104">
        <v>2154</v>
      </c>
      <c r="G7" s="24"/>
      <c r="H7" s="105"/>
      <c r="I7" s="24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1310</v>
      </c>
      <c r="B8" s="20" t="s">
        <v>31</v>
      </c>
      <c r="C8" s="21">
        <f t="shared" si="0"/>
        <v>2</v>
      </c>
      <c r="D8" s="20" t="s">
        <v>1311</v>
      </c>
      <c r="E8" s="20" t="s">
        <v>1209</v>
      </c>
      <c r="F8" s="104">
        <v>2154</v>
      </c>
      <c r="G8" s="24"/>
      <c r="H8" s="105"/>
      <c r="I8" s="24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20" t="s">
        <v>1312</v>
      </c>
      <c r="B9" s="20" t="s">
        <v>31</v>
      </c>
      <c r="C9" s="21">
        <f t="shared" si="0"/>
        <v>2</v>
      </c>
      <c r="D9" s="20" t="s">
        <v>1313</v>
      </c>
      <c r="E9" s="20" t="s">
        <v>1209</v>
      </c>
      <c r="F9" s="104">
        <v>185.5</v>
      </c>
      <c r="G9" s="24"/>
      <c r="H9" s="105"/>
      <c r="I9" s="24"/>
      <c r="J9" s="37">
        <f t="shared" si="1"/>
        <v>0</v>
      </c>
      <c r="K9" s="37">
        <f t="shared" si="2"/>
        <v>0</v>
      </c>
      <c r="L9" s="37">
        <f t="shared" si="3"/>
        <v>0</v>
      </c>
    </row>
    <row r="10" spans="1:12" x14ac:dyDescent="0.2">
      <c r="A10" s="20" t="s">
        <v>1314</v>
      </c>
      <c r="B10" s="20" t="s">
        <v>31</v>
      </c>
      <c r="C10" s="21">
        <f t="shared" si="0"/>
        <v>2</v>
      </c>
      <c r="D10" s="20" t="s">
        <v>1315</v>
      </c>
      <c r="E10" s="20" t="s">
        <v>1209</v>
      </c>
      <c r="F10" s="104">
        <v>10</v>
      </c>
      <c r="G10" s="24"/>
      <c r="H10" s="105"/>
      <c r="I10" s="24"/>
      <c r="J10" s="37">
        <f t="shared" si="1"/>
        <v>0</v>
      </c>
      <c r="K10" s="37">
        <f t="shared" si="2"/>
        <v>0</v>
      </c>
      <c r="L10" s="37">
        <f t="shared" si="3"/>
        <v>0</v>
      </c>
    </row>
    <row r="11" spans="1:12" x14ac:dyDescent="0.2">
      <c r="A11" s="20" t="s">
        <v>1316</v>
      </c>
      <c r="B11" s="20" t="s">
        <v>31</v>
      </c>
      <c r="C11" s="21">
        <f t="shared" si="0"/>
        <v>2</v>
      </c>
      <c r="D11" s="20" t="s">
        <v>1317</v>
      </c>
      <c r="E11" s="20" t="s">
        <v>1209</v>
      </c>
      <c r="F11" s="104">
        <v>571</v>
      </c>
      <c r="G11" s="24"/>
      <c r="H11" s="105"/>
      <c r="I11" s="24"/>
      <c r="J11" s="37">
        <f t="shared" si="1"/>
        <v>0</v>
      </c>
      <c r="K11" s="37">
        <f t="shared" si="2"/>
        <v>0</v>
      </c>
      <c r="L11" s="37">
        <f t="shared" si="3"/>
        <v>0</v>
      </c>
    </row>
    <row r="12" spans="1:12" x14ac:dyDescent="0.2">
      <c r="A12" s="20" t="s">
        <v>1318</v>
      </c>
      <c r="B12" s="20" t="s">
        <v>30</v>
      </c>
      <c r="C12" s="21">
        <f t="shared" si="0"/>
        <v>3</v>
      </c>
      <c r="D12" s="20" t="s">
        <v>1319</v>
      </c>
      <c r="E12" s="20" t="s">
        <v>1320</v>
      </c>
      <c r="F12" s="104">
        <v>1</v>
      </c>
      <c r="G12" s="24"/>
      <c r="H12" s="105"/>
      <c r="I12" s="24"/>
      <c r="J12" s="37">
        <f>IF(ISBLANK(F12),1,F12)*I12</f>
        <v>0</v>
      </c>
      <c r="K12" s="37">
        <f t="shared" si="2"/>
        <v>0</v>
      </c>
      <c r="L12" s="37">
        <f t="shared" si="3"/>
        <v>0</v>
      </c>
    </row>
    <row r="13" spans="1:12" x14ac:dyDescent="0.2">
      <c r="A13" s="20" t="s">
        <v>1321</v>
      </c>
      <c r="B13" s="20" t="s">
        <v>30</v>
      </c>
      <c r="C13" s="21">
        <f t="shared" si="0"/>
        <v>3</v>
      </c>
      <c r="D13" s="20" t="s">
        <v>1322</v>
      </c>
      <c r="E13" s="20" t="s">
        <v>1320</v>
      </c>
      <c r="F13" s="104">
        <v>1</v>
      </c>
      <c r="G13" s="24"/>
      <c r="H13" s="105"/>
      <c r="I13" s="24"/>
      <c r="J13" s="37">
        <f>IF(ISBLANK(F13),1,F13)*I13</f>
        <v>0</v>
      </c>
      <c r="K13" s="37">
        <f t="shared" si="2"/>
        <v>0</v>
      </c>
      <c r="L13" s="37">
        <f t="shared" si="3"/>
        <v>0</v>
      </c>
    </row>
    <row r="14" spans="1:12" x14ac:dyDescent="0.2">
      <c r="A14" s="20" t="s">
        <v>1323</v>
      </c>
      <c r="B14" s="20" t="s">
        <v>32</v>
      </c>
      <c r="C14" s="21">
        <f t="shared" si="0"/>
        <v>1</v>
      </c>
      <c r="D14" s="20" t="s">
        <v>1324</v>
      </c>
      <c r="E14" s="20" t="s">
        <v>1209</v>
      </c>
      <c r="F14" s="104">
        <v>136</v>
      </c>
      <c r="G14" s="24"/>
      <c r="H14" s="105"/>
      <c r="I14" s="24"/>
      <c r="J14" s="37">
        <f>IF(ISBLANK(F14),0,F14)*I14</f>
        <v>0</v>
      </c>
      <c r="K14" s="37">
        <f t="shared" si="2"/>
        <v>0</v>
      </c>
      <c r="L14" s="37">
        <f t="shared" si="3"/>
        <v>0</v>
      </c>
    </row>
    <row r="15" spans="1:12" x14ac:dyDescent="0.2">
      <c r="A15" s="25" t="s">
        <v>1325</v>
      </c>
      <c r="B15" s="25" t="s">
        <v>32</v>
      </c>
      <c r="C15" s="26">
        <f t="shared" si="0"/>
        <v>1</v>
      </c>
      <c r="D15" s="25" t="s">
        <v>1326</v>
      </c>
      <c r="E15" s="25" t="s">
        <v>1209</v>
      </c>
      <c r="F15" s="107">
        <v>845</v>
      </c>
      <c r="G15" s="29"/>
      <c r="H15" s="111"/>
      <c r="I15" s="29"/>
      <c r="J15" s="41">
        <f>IF(ISBLANK(F15),0,F15)*I15</f>
        <v>0</v>
      </c>
      <c r="K15" s="41">
        <f t="shared" si="2"/>
        <v>0</v>
      </c>
      <c r="L15" s="41">
        <f t="shared" si="3"/>
        <v>0</v>
      </c>
    </row>
    <row r="16" spans="1:12" x14ac:dyDescent="0.2">
      <c r="A16" s="43" t="s">
        <v>231</v>
      </c>
      <c r="B16" s="44"/>
      <c r="C16" s="44"/>
      <c r="D16" s="44"/>
      <c r="E16" s="44"/>
      <c r="F16" s="44"/>
      <c r="G16" s="44"/>
      <c r="H16" s="44"/>
      <c r="I16" s="44"/>
      <c r="J16" s="44"/>
      <c r="K16" s="46">
        <f>SUM(K6:K15)</f>
        <v>0</v>
      </c>
      <c r="L16" s="109">
        <f t="shared" si="3"/>
        <v>0</v>
      </c>
    </row>
    <row r="18" spans="1:12" x14ac:dyDescent="0.2">
      <c r="A18" s="43" t="s">
        <v>1327</v>
      </c>
      <c r="B18" s="44"/>
      <c r="C18" s="44"/>
      <c r="D18" s="44"/>
      <c r="E18" s="44"/>
      <c r="F18" s="44"/>
      <c r="G18" s="44"/>
      <c r="H18" s="44"/>
      <c r="I18" s="44"/>
      <c r="J18" s="44"/>
      <c r="K18" s="46">
        <f>prijsjaarglas1</f>
        <v>0</v>
      </c>
      <c r="L18" s="109">
        <f>K18/12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76A5-E809-4791-9878-EC8D3E1161D9}">
  <dimension ref="A1:F19"/>
  <sheetViews>
    <sheetView tabSelected="1" workbookViewId="0">
      <selection activeCell="E17" sqref="E17"/>
    </sheetView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1.12: ",tabeltype," totaalblad schoonmaakwerk")</f>
        <v>Bijlage 1.12: Invultabel totaalblad schoonmaakwerk</v>
      </c>
    </row>
    <row r="3" spans="1:6" ht="25.5" x14ac:dyDescent="0.2">
      <c r="A3" s="8" t="s">
        <v>1328</v>
      </c>
      <c r="B3" s="8" t="s">
        <v>1329</v>
      </c>
      <c r="C3" s="8" t="s">
        <v>1330</v>
      </c>
      <c r="D3" s="8" t="s">
        <v>1331</v>
      </c>
      <c r="E3" s="8" t="s">
        <v>1332</v>
      </c>
      <c r="F3" s="8" t="s">
        <v>1333</v>
      </c>
    </row>
    <row r="4" spans="1:6" x14ac:dyDescent="0.2">
      <c r="A4" s="114" t="s">
        <v>1334</v>
      </c>
      <c r="B4" s="30">
        <f>urenjaartotaaloverzicht</f>
        <v>207</v>
      </c>
      <c r="C4" s="30">
        <f>urenjaartotaaloverzichthf</f>
        <v>0</v>
      </c>
      <c r="D4" s="93"/>
      <c r="E4" s="33">
        <f>prijsjaartotaaloverzicht</f>
        <v>0</v>
      </c>
      <c r="F4" s="33">
        <f t="shared" ref="F4:F9" si="0">E4*1.21</f>
        <v>0</v>
      </c>
    </row>
    <row r="5" spans="1:6" x14ac:dyDescent="0.2">
      <c r="A5" s="115" t="s">
        <v>1335</v>
      </c>
      <c r="B5" s="96"/>
      <c r="C5" s="96"/>
      <c r="D5" s="34">
        <f>urenjaarnietmeewerkend</f>
        <v>0</v>
      </c>
      <c r="E5" s="37">
        <f>prijsjaarnietmeewerkend</f>
        <v>0</v>
      </c>
      <c r="F5" s="37">
        <f t="shared" si="0"/>
        <v>0</v>
      </c>
    </row>
    <row r="6" spans="1:6" x14ac:dyDescent="0.2">
      <c r="A6" s="115" t="s">
        <v>1336</v>
      </c>
      <c r="B6" s="96"/>
      <c r="C6" s="96"/>
      <c r="D6" s="96"/>
      <c r="E6" s="37">
        <f>prijsjaaradditioneel</f>
        <v>0</v>
      </c>
      <c r="F6" s="37">
        <f t="shared" si="0"/>
        <v>0</v>
      </c>
    </row>
    <row r="7" spans="1:6" ht="25.5" x14ac:dyDescent="0.2">
      <c r="A7" s="115" t="s">
        <v>1337</v>
      </c>
      <c r="B7" s="96"/>
      <c r="C7" s="96"/>
      <c r="D7" s="96"/>
      <c r="E7" s="37">
        <f>prijsjaarafroep</f>
        <v>0</v>
      </c>
      <c r="F7" s="37">
        <f t="shared" si="0"/>
        <v>0</v>
      </c>
    </row>
    <row r="8" spans="1:6" x14ac:dyDescent="0.2">
      <c r="A8" s="115" t="s">
        <v>1338</v>
      </c>
      <c r="B8" s="96"/>
      <c r="C8" s="96"/>
      <c r="D8" s="96"/>
      <c r="E8" s="37">
        <f>prijsjaarregie</f>
        <v>0</v>
      </c>
      <c r="F8" s="37">
        <f t="shared" si="0"/>
        <v>0</v>
      </c>
    </row>
    <row r="9" spans="1:6" x14ac:dyDescent="0.2">
      <c r="A9" s="116" t="s">
        <v>1339</v>
      </c>
      <c r="B9" s="117"/>
      <c r="C9" s="117"/>
      <c r="D9" s="117"/>
      <c r="E9" s="41">
        <f>prijsjaarglas</f>
        <v>0</v>
      </c>
      <c r="F9" s="41">
        <f t="shared" si="0"/>
        <v>0</v>
      </c>
    </row>
    <row r="11" spans="1:6" x14ac:dyDescent="0.2">
      <c r="A11" s="8" t="s">
        <v>1340</v>
      </c>
      <c r="B11" s="45">
        <f>SUM(B4:B9)</f>
        <v>207</v>
      </c>
      <c r="C11" s="45">
        <f>SUM(C4:C9)</f>
        <v>0</v>
      </c>
      <c r="D11" s="45">
        <f>SUM(D4:D9)</f>
        <v>0</v>
      </c>
      <c r="E11" s="46">
        <f>SUM(E4:E9)</f>
        <v>0</v>
      </c>
      <c r="F11" s="46">
        <f>E11*1.21</f>
        <v>0</v>
      </c>
    </row>
    <row r="13" spans="1:6" x14ac:dyDescent="0.2">
      <c r="A13" s="8" t="s">
        <v>1341</v>
      </c>
      <c r="B13" s="118">
        <f>IF(B11&gt;0,D11/B11,0)</f>
        <v>0</v>
      </c>
    </row>
    <row r="17" spans="1:5" ht="15" x14ac:dyDescent="0.25">
      <c r="A17" s="119" t="s">
        <v>1342</v>
      </c>
      <c r="B17" s="120"/>
      <c r="C17" s="120"/>
      <c r="D17" s="120"/>
      <c r="E17" s="121">
        <f>E4+E5+E7</f>
        <v>0</v>
      </c>
    </row>
    <row r="18" spans="1:5" ht="15" x14ac:dyDescent="0.25">
      <c r="A18" s="120"/>
      <c r="B18" s="120"/>
      <c r="C18" s="120"/>
      <c r="D18" s="120"/>
      <c r="E18" s="120"/>
    </row>
    <row r="19" spans="1:5" ht="15" x14ac:dyDescent="0.25">
      <c r="A19" s="122" t="s">
        <v>1343</v>
      </c>
      <c r="B19" s="120"/>
      <c r="C19" s="120"/>
      <c r="D19" s="120"/>
      <c r="E19" s="121">
        <f>E6+E8+E9</f>
        <v>0</v>
      </c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A068-A898-4E9C-93FB-8E38FD33B682}">
  <dimension ref="A1:H7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1.1: ",tabeltype," categorienormen")</f>
        <v>Bijlage 1.1: Invultabel categorienormen</v>
      </c>
    </row>
    <row r="3" spans="1:8" ht="38.25" x14ac:dyDescent="0.2">
      <c r="A3" s="8" t="s">
        <v>33</v>
      </c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41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42</v>
      </c>
      <c r="B6" s="16" t="s">
        <v>43</v>
      </c>
      <c r="C6" s="15">
        <v>1</v>
      </c>
      <c r="D6" s="15" t="s">
        <v>44</v>
      </c>
      <c r="E6" s="17"/>
      <c r="F6" s="18"/>
      <c r="G6" s="15" t="s">
        <v>45</v>
      </c>
      <c r="H6" s="19"/>
    </row>
    <row r="7" spans="1:8" x14ac:dyDescent="0.2">
      <c r="A7" s="20" t="s">
        <v>46</v>
      </c>
      <c r="B7" s="21" t="s">
        <v>43</v>
      </c>
      <c r="C7" s="20">
        <v>46</v>
      </c>
      <c r="D7" s="20" t="s">
        <v>47</v>
      </c>
      <c r="E7" s="22"/>
      <c r="F7" s="23"/>
      <c r="G7" s="20" t="s">
        <v>45</v>
      </c>
      <c r="H7" s="24"/>
    </row>
    <row r="8" spans="1:8" x14ac:dyDescent="0.2">
      <c r="A8" s="20" t="s">
        <v>46</v>
      </c>
      <c r="B8" s="21" t="s">
        <v>43</v>
      </c>
      <c r="C8" s="20">
        <v>51</v>
      </c>
      <c r="D8" s="20" t="s">
        <v>47</v>
      </c>
      <c r="E8" s="22"/>
      <c r="F8" s="23"/>
      <c r="G8" s="20" t="s">
        <v>45</v>
      </c>
      <c r="H8" s="24"/>
    </row>
    <row r="9" spans="1:8" x14ac:dyDescent="0.2">
      <c r="A9" s="20" t="s">
        <v>48</v>
      </c>
      <c r="B9" s="21" t="s">
        <v>43</v>
      </c>
      <c r="C9" s="20">
        <v>1</v>
      </c>
      <c r="D9" s="20" t="s">
        <v>49</v>
      </c>
      <c r="E9" s="22"/>
      <c r="F9" s="23"/>
      <c r="G9" s="20" t="s">
        <v>45</v>
      </c>
      <c r="H9" s="24"/>
    </row>
    <row r="10" spans="1:8" x14ac:dyDescent="0.2">
      <c r="A10" s="20" t="s">
        <v>50</v>
      </c>
      <c r="B10" s="21" t="s">
        <v>43</v>
      </c>
      <c r="C10" s="20">
        <v>46</v>
      </c>
      <c r="D10" s="20" t="s">
        <v>51</v>
      </c>
      <c r="E10" s="22"/>
      <c r="F10" s="23"/>
      <c r="G10" s="20" t="s">
        <v>45</v>
      </c>
      <c r="H10" s="24"/>
    </row>
    <row r="11" spans="1:8" x14ac:dyDescent="0.2">
      <c r="A11" s="20" t="s">
        <v>50</v>
      </c>
      <c r="B11" s="21" t="s">
        <v>43</v>
      </c>
      <c r="C11" s="20">
        <v>51</v>
      </c>
      <c r="D11" s="20" t="s">
        <v>51</v>
      </c>
      <c r="E11" s="22"/>
      <c r="F11" s="23"/>
      <c r="G11" s="20" t="s">
        <v>45</v>
      </c>
      <c r="H11" s="24"/>
    </row>
    <row r="12" spans="1:8" x14ac:dyDescent="0.2">
      <c r="A12" s="20" t="s">
        <v>52</v>
      </c>
      <c r="B12" s="21" t="s">
        <v>43</v>
      </c>
      <c r="C12" s="20">
        <v>1</v>
      </c>
      <c r="D12" s="20" t="s">
        <v>53</v>
      </c>
      <c r="E12" s="22"/>
      <c r="F12" s="23"/>
      <c r="G12" s="20" t="s">
        <v>45</v>
      </c>
      <c r="H12" s="24"/>
    </row>
    <row r="13" spans="1:8" x14ac:dyDescent="0.2">
      <c r="A13" s="20" t="s">
        <v>54</v>
      </c>
      <c r="B13" s="21" t="s">
        <v>43</v>
      </c>
      <c r="C13" s="20">
        <v>46</v>
      </c>
      <c r="D13" s="20" t="s">
        <v>55</v>
      </c>
      <c r="E13" s="22"/>
      <c r="F13" s="23"/>
      <c r="G13" s="20" t="s">
        <v>45</v>
      </c>
      <c r="H13" s="24"/>
    </row>
    <row r="14" spans="1:8" x14ac:dyDescent="0.2">
      <c r="A14" s="20" t="s">
        <v>56</v>
      </c>
      <c r="B14" s="21" t="s">
        <v>43</v>
      </c>
      <c r="C14" s="20">
        <v>1</v>
      </c>
      <c r="D14" s="20" t="s">
        <v>57</v>
      </c>
      <c r="E14" s="22"/>
      <c r="F14" s="23"/>
      <c r="G14" s="20" t="s">
        <v>45</v>
      </c>
      <c r="H14" s="24"/>
    </row>
    <row r="15" spans="1:8" x14ac:dyDescent="0.2">
      <c r="A15" s="20" t="s">
        <v>58</v>
      </c>
      <c r="B15" s="21" t="s">
        <v>43</v>
      </c>
      <c r="C15" s="20">
        <v>46</v>
      </c>
      <c r="D15" s="20" t="s">
        <v>59</v>
      </c>
      <c r="E15" s="22"/>
      <c r="F15" s="23"/>
      <c r="G15" s="20" t="s">
        <v>45</v>
      </c>
      <c r="H15" s="24"/>
    </row>
    <row r="16" spans="1:8" x14ac:dyDescent="0.2">
      <c r="A16" s="20" t="s">
        <v>60</v>
      </c>
      <c r="B16" s="21" t="s">
        <v>43</v>
      </c>
      <c r="C16" s="20">
        <v>1</v>
      </c>
      <c r="D16" s="20" t="s">
        <v>61</v>
      </c>
      <c r="E16" s="22"/>
      <c r="F16" s="23"/>
      <c r="G16" s="20" t="s">
        <v>45</v>
      </c>
      <c r="H16" s="24"/>
    </row>
    <row r="17" spans="1:8" x14ac:dyDescent="0.2">
      <c r="A17" s="20" t="s">
        <v>62</v>
      </c>
      <c r="B17" s="21" t="s">
        <v>43</v>
      </c>
      <c r="C17" s="20">
        <v>46</v>
      </c>
      <c r="D17" s="20" t="s">
        <v>63</v>
      </c>
      <c r="E17" s="22"/>
      <c r="F17" s="23"/>
      <c r="G17" s="20" t="s">
        <v>45</v>
      </c>
      <c r="H17" s="24"/>
    </row>
    <row r="18" spans="1:8" x14ac:dyDescent="0.2">
      <c r="A18" s="20" t="s">
        <v>62</v>
      </c>
      <c r="B18" s="21" t="s">
        <v>43</v>
      </c>
      <c r="C18" s="20">
        <v>51</v>
      </c>
      <c r="D18" s="20" t="s">
        <v>63</v>
      </c>
      <c r="E18" s="22"/>
      <c r="F18" s="23"/>
      <c r="G18" s="20" t="s">
        <v>45</v>
      </c>
      <c r="H18" s="24"/>
    </row>
    <row r="19" spans="1:8" x14ac:dyDescent="0.2">
      <c r="A19" s="20" t="s">
        <v>64</v>
      </c>
      <c r="B19" s="21" t="s">
        <v>43</v>
      </c>
      <c r="C19" s="20">
        <v>1</v>
      </c>
      <c r="D19" s="20" t="s">
        <v>65</v>
      </c>
      <c r="E19" s="22"/>
      <c r="F19" s="23"/>
      <c r="G19" s="20" t="s">
        <v>45</v>
      </c>
      <c r="H19" s="24"/>
    </row>
    <row r="20" spans="1:8" x14ac:dyDescent="0.2">
      <c r="A20" s="20" t="s">
        <v>66</v>
      </c>
      <c r="B20" s="21" t="s">
        <v>43</v>
      </c>
      <c r="C20" s="20">
        <v>51</v>
      </c>
      <c r="D20" s="20" t="s">
        <v>67</v>
      </c>
      <c r="E20" s="22"/>
      <c r="F20" s="23"/>
      <c r="G20" s="20" t="s">
        <v>45</v>
      </c>
      <c r="H20" s="24"/>
    </row>
    <row r="21" spans="1:8" x14ac:dyDescent="0.2">
      <c r="A21" s="20" t="s">
        <v>68</v>
      </c>
      <c r="B21" s="21" t="s">
        <v>43</v>
      </c>
      <c r="C21" s="20">
        <v>1</v>
      </c>
      <c r="D21" s="20" t="s">
        <v>69</v>
      </c>
      <c r="E21" s="22"/>
      <c r="F21" s="23"/>
      <c r="G21" s="20" t="s">
        <v>45</v>
      </c>
      <c r="H21" s="24"/>
    </row>
    <row r="22" spans="1:8" x14ac:dyDescent="0.2">
      <c r="A22" s="20" t="s">
        <v>70</v>
      </c>
      <c r="B22" s="21" t="s">
        <v>43</v>
      </c>
      <c r="C22" s="20">
        <v>46</v>
      </c>
      <c r="D22" s="20" t="s">
        <v>71</v>
      </c>
      <c r="E22" s="22"/>
      <c r="F22" s="23"/>
      <c r="G22" s="20" t="s">
        <v>45</v>
      </c>
      <c r="H22" s="24"/>
    </row>
    <row r="23" spans="1:8" x14ac:dyDescent="0.2">
      <c r="A23" s="20" t="s">
        <v>72</v>
      </c>
      <c r="B23" s="21" t="s">
        <v>43</v>
      </c>
      <c r="C23" s="20">
        <v>1</v>
      </c>
      <c r="D23" s="20" t="s">
        <v>73</v>
      </c>
      <c r="E23" s="22"/>
      <c r="F23" s="23"/>
      <c r="G23" s="20" t="s">
        <v>45</v>
      </c>
      <c r="H23" s="24"/>
    </row>
    <row r="24" spans="1:8" x14ac:dyDescent="0.2">
      <c r="A24" s="20" t="s">
        <v>74</v>
      </c>
      <c r="B24" s="21" t="s">
        <v>43</v>
      </c>
      <c r="C24" s="20">
        <v>46</v>
      </c>
      <c r="D24" s="20" t="s">
        <v>75</v>
      </c>
      <c r="E24" s="22"/>
      <c r="F24" s="23"/>
      <c r="G24" s="20" t="s">
        <v>45</v>
      </c>
      <c r="H24" s="24"/>
    </row>
    <row r="25" spans="1:8" x14ac:dyDescent="0.2">
      <c r="A25" s="20" t="s">
        <v>76</v>
      </c>
      <c r="B25" s="21" t="s">
        <v>43</v>
      </c>
      <c r="C25" s="20">
        <v>1</v>
      </c>
      <c r="D25" s="20" t="s">
        <v>77</v>
      </c>
      <c r="E25" s="22"/>
      <c r="F25" s="23"/>
      <c r="G25" s="20" t="s">
        <v>45</v>
      </c>
      <c r="H25" s="24"/>
    </row>
    <row r="26" spans="1:8" x14ac:dyDescent="0.2">
      <c r="A26" s="20" t="s">
        <v>78</v>
      </c>
      <c r="B26" s="21" t="s">
        <v>43</v>
      </c>
      <c r="C26" s="20">
        <v>46</v>
      </c>
      <c r="D26" s="20" t="s">
        <v>79</v>
      </c>
      <c r="E26" s="22"/>
      <c r="F26" s="23"/>
      <c r="G26" s="20" t="s">
        <v>45</v>
      </c>
      <c r="H26" s="24"/>
    </row>
    <row r="27" spans="1:8" x14ac:dyDescent="0.2">
      <c r="A27" s="20" t="s">
        <v>80</v>
      </c>
      <c r="B27" s="21" t="s">
        <v>81</v>
      </c>
      <c r="C27" s="20">
        <v>1</v>
      </c>
      <c r="D27" s="20" t="s">
        <v>82</v>
      </c>
      <c r="E27" s="22"/>
      <c r="F27" s="23"/>
      <c r="G27" s="20" t="s">
        <v>45</v>
      </c>
      <c r="H27" s="24"/>
    </row>
    <row r="28" spans="1:8" x14ac:dyDescent="0.2">
      <c r="A28" s="20" t="s">
        <v>83</v>
      </c>
      <c r="B28" s="21" t="s">
        <v>81</v>
      </c>
      <c r="C28" s="20">
        <v>46</v>
      </c>
      <c r="D28" s="20" t="s">
        <v>84</v>
      </c>
      <c r="E28" s="22"/>
      <c r="F28" s="23"/>
      <c r="G28" s="20" t="s">
        <v>45</v>
      </c>
      <c r="H28" s="24"/>
    </row>
    <row r="29" spans="1:8" x14ac:dyDescent="0.2">
      <c r="A29" s="20" t="s">
        <v>85</v>
      </c>
      <c r="B29" s="21" t="s">
        <v>81</v>
      </c>
      <c r="C29" s="20">
        <v>1</v>
      </c>
      <c r="D29" s="20" t="s">
        <v>86</v>
      </c>
      <c r="E29" s="22"/>
      <c r="F29" s="23"/>
      <c r="G29" s="20" t="s">
        <v>45</v>
      </c>
      <c r="H29" s="24"/>
    </row>
    <row r="30" spans="1:8" x14ac:dyDescent="0.2">
      <c r="A30" s="20" t="s">
        <v>87</v>
      </c>
      <c r="B30" s="21" t="s">
        <v>81</v>
      </c>
      <c r="C30" s="20">
        <v>46</v>
      </c>
      <c r="D30" s="20" t="s">
        <v>88</v>
      </c>
      <c r="E30" s="22"/>
      <c r="F30" s="23"/>
      <c r="G30" s="20" t="s">
        <v>45</v>
      </c>
      <c r="H30" s="24"/>
    </row>
    <row r="31" spans="1:8" x14ac:dyDescent="0.2">
      <c r="A31" s="20" t="s">
        <v>89</v>
      </c>
      <c r="B31" s="21" t="s">
        <v>81</v>
      </c>
      <c r="C31" s="20">
        <v>1</v>
      </c>
      <c r="D31" s="20" t="s">
        <v>90</v>
      </c>
      <c r="E31" s="22"/>
      <c r="F31" s="23"/>
      <c r="G31" s="20" t="s">
        <v>45</v>
      </c>
      <c r="H31" s="24"/>
    </row>
    <row r="32" spans="1:8" x14ac:dyDescent="0.2">
      <c r="A32" s="20" t="s">
        <v>91</v>
      </c>
      <c r="B32" s="21" t="s">
        <v>81</v>
      </c>
      <c r="C32" s="20">
        <v>46</v>
      </c>
      <c r="D32" s="20" t="s">
        <v>92</v>
      </c>
      <c r="E32" s="22"/>
      <c r="F32" s="23"/>
      <c r="G32" s="20" t="s">
        <v>45</v>
      </c>
      <c r="H32" s="24"/>
    </row>
    <row r="33" spans="1:8" x14ac:dyDescent="0.2">
      <c r="A33" s="20" t="s">
        <v>91</v>
      </c>
      <c r="B33" s="21" t="s">
        <v>81</v>
      </c>
      <c r="C33" s="20">
        <v>51</v>
      </c>
      <c r="D33" s="20" t="s">
        <v>92</v>
      </c>
      <c r="E33" s="22"/>
      <c r="F33" s="23"/>
      <c r="G33" s="20" t="s">
        <v>45</v>
      </c>
      <c r="H33" s="24"/>
    </row>
    <row r="34" spans="1:8" x14ac:dyDescent="0.2">
      <c r="A34" s="20" t="s">
        <v>93</v>
      </c>
      <c r="B34" s="21" t="s">
        <v>94</v>
      </c>
      <c r="C34" s="20">
        <v>2</v>
      </c>
      <c r="D34" s="20" t="s">
        <v>95</v>
      </c>
      <c r="E34" s="22"/>
      <c r="F34" s="23"/>
      <c r="G34" s="20" t="s">
        <v>45</v>
      </c>
      <c r="H34" s="24"/>
    </row>
    <row r="35" spans="1:8" x14ac:dyDescent="0.2">
      <c r="A35" s="20" t="s">
        <v>93</v>
      </c>
      <c r="B35" s="21" t="s">
        <v>94</v>
      </c>
      <c r="C35" s="20">
        <v>6</v>
      </c>
      <c r="D35" s="20" t="s">
        <v>95</v>
      </c>
      <c r="E35" s="22"/>
      <c r="F35" s="23"/>
      <c r="G35" s="20" t="s">
        <v>45</v>
      </c>
      <c r="H35" s="24"/>
    </row>
    <row r="36" spans="1:8" x14ac:dyDescent="0.2">
      <c r="A36" s="20" t="s">
        <v>93</v>
      </c>
      <c r="B36" s="21" t="s">
        <v>94</v>
      </c>
      <c r="C36" s="20">
        <v>12</v>
      </c>
      <c r="D36" s="20" t="s">
        <v>95</v>
      </c>
      <c r="E36" s="22"/>
      <c r="F36" s="23"/>
      <c r="G36" s="20" t="s">
        <v>45</v>
      </c>
      <c r="H36" s="24"/>
    </row>
    <row r="37" spans="1:8" x14ac:dyDescent="0.2">
      <c r="A37" s="20" t="s">
        <v>96</v>
      </c>
      <c r="B37" s="21" t="s">
        <v>94</v>
      </c>
      <c r="C37" s="20">
        <v>1</v>
      </c>
      <c r="D37" s="20" t="s">
        <v>97</v>
      </c>
      <c r="E37" s="22"/>
      <c r="F37" s="23"/>
      <c r="G37" s="20" t="s">
        <v>45</v>
      </c>
      <c r="H37" s="24"/>
    </row>
    <row r="38" spans="1:8" x14ac:dyDescent="0.2">
      <c r="A38" s="20" t="s">
        <v>98</v>
      </c>
      <c r="B38" s="21" t="s">
        <v>94</v>
      </c>
      <c r="C38" s="20">
        <v>46</v>
      </c>
      <c r="D38" s="20" t="s">
        <v>99</v>
      </c>
      <c r="E38" s="22"/>
      <c r="F38" s="23"/>
      <c r="G38" s="20" t="s">
        <v>45</v>
      </c>
      <c r="H38" s="24"/>
    </row>
    <row r="39" spans="1:8" x14ac:dyDescent="0.2">
      <c r="A39" s="20" t="s">
        <v>100</v>
      </c>
      <c r="B39" s="21" t="s">
        <v>94</v>
      </c>
      <c r="C39" s="20">
        <v>1</v>
      </c>
      <c r="D39" s="20" t="s">
        <v>101</v>
      </c>
      <c r="E39" s="22"/>
      <c r="F39" s="23"/>
      <c r="G39" s="20" t="s">
        <v>45</v>
      </c>
      <c r="H39" s="24"/>
    </row>
    <row r="40" spans="1:8" x14ac:dyDescent="0.2">
      <c r="A40" s="20" t="s">
        <v>102</v>
      </c>
      <c r="B40" s="21" t="s">
        <v>94</v>
      </c>
      <c r="C40" s="20">
        <v>46</v>
      </c>
      <c r="D40" s="20" t="s">
        <v>103</v>
      </c>
      <c r="E40" s="22"/>
      <c r="F40" s="23"/>
      <c r="G40" s="20" t="s">
        <v>45</v>
      </c>
      <c r="H40" s="24"/>
    </row>
    <row r="41" spans="1:8" x14ac:dyDescent="0.2">
      <c r="A41" s="20" t="s">
        <v>104</v>
      </c>
      <c r="B41" s="21" t="s">
        <v>94</v>
      </c>
      <c r="C41" s="20">
        <v>1</v>
      </c>
      <c r="D41" s="20" t="s">
        <v>105</v>
      </c>
      <c r="E41" s="22"/>
      <c r="F41" s="23"/>
      <c r="G41" s="20" t="s">
        <v>45</v>
      </c>
      <c r="H41" s="24"/>
    </row>
    <row r="42" spans="1:8" x14ac:dyDescent="0.2">
      <c r="A42" s="20" t="s">
        <v>106</v>
      </c>
      <c r="B42" s="21" t="s">
        <v>94</v>
      </c>
      <c r="C42" s="20">
        <v>46</v>
      </c>
      <c r="D42" s="20" t="s">
        <v>107</v>
      </c>
      <c r="E42" s="22"/>
      <c r="F42" s="23"/>
      <c r="G42" s="20" t="s">
        <v>45</v>
      </c>
      <c r="H42" s="24"/>
    </row>
    <row r="43" spans="1:8" x14ac:dyDescent="0.2">
      <c r="A43" s="20" t="s">
        <v>108</v>
      </c>
      <c r="B43" s="21" t="s">
        <v>94</v>
      </c>
      <c r="C43" s="20">
        <v>1</v>
      </c>
      <c r="D43" s="20" t="s">
        <v>109</v>
      </c>
      <c r="E43" s="22"/>
      <c r="F43" s="23"/>
      <c r="G43" s="20" t="s">
        <v>45</v>
      </c>
      <c r="H43" s="24"/>
    </row>
    <row r="44" spans="1:8" x14ac:dyDescent="0.2">
      <c r="A44" s="20" t="s">
        <v>110</v>
      </c>
      <c r="B44" s="21" t="s">
        <v>94</v>
      </c>
      <c r="C44" s="20">
        <v>46</v>
      </c>
      <c r="D44" s="20" t="s">
        <v>111</v>
      </c>
      <c r="E44" s="22"/>
      <c r="F44" s="23"/>
      <c r="G44" s="20" t="s">
        <v>45</v>
      </c>
      <c r="H44" s="24"/>
    </row>
    <row r="45" spans="1:8" x14ac:dyDescent="0.2">
      <c r="A45" s="20" t="s">
        <v>112</v>
      </c>
      <c r="B45" s="21" t="s">
        <v>94</v>
      </c>
      <c r="C45" s="20">
        <v>1</v>
      </c>
      <c r="D45" s="20" t="s">
        <v>113</v>
      </c>
      <c r="E45" s="22"/>
      <c r="F45" s="23"/>
      <c r="G45" s="20" t="s">
        <v>45</v>
      </c>
      <c r="H45" s="24"/>
    </row>
    <row r="46" spans="1:8" x14ac:dyDescent="0.2">
      <c r="A46" s="20" t="s">
        <v>114</v>
      </c>
      <c r="B46" s="21" t="s">
        <v>94</v>
      </c>
      <c r="C46" s="20">
        <v>46</v>
      </c>
      <c r="D46" s="20" t="s">
        <v>115</v>
      </c>
      <c r="E46" s="22"/>
      <c r="F46" s="23"/>
      <c r="G46" s="20" t="s">
        <v>45</v>
      </c>
      <c r="H46" s="24"/>
    </row>
    <row r="47" spans="1:8" x14ac:dyDescent="0.2">
      <c r="A47" s="20" t="s">
        <v>116</v>
      </c>
      <c r="B47" s="21" t="s">
        <v>94</v>
      </c>
      <c r="C47" s="20">
        <v>1</v>
      </c>
      <c r="D47" s="20" t="s">
        <v>117</v>
      </c>
      <c r="E47" s="22"/>
      <c r="F47" s="23"/>
      <c r="G47" s="20" t="s">
        <v>45</v>
      </c>
      <c r="H47" s="24"/>
    </row>
    <row r="48" spans="1:8" x14ac:dyDescent="0.2">
      <c r="A48" s="20" t="s">
        <v>118</v>
      </c>
      <c r="B48" s="21" t="s">
        <v>94</v>
      </c>
      <c r="C48" s="20">
        <v>51</v>
      </c>
      <c r="D48" s="20" t="s">
        <v>119</v>
      </c>
      <c r="E48" s="22"/>
      <c r="F48" s="23"/>
      <c r="G48" s="20" t="s">
        <v>45</v>
      </c>
      <c r="H48" s="24"/>
    </row>
    <row r="49" spans="1:8" x14ac:dyDescent="0.2">
      <c r="A49" s="20" t="s">
        <v>120</v>
      </c>
      <c r="B49" s="21" t="s">
        <v>94</v>
      </c>
      <c r="C49" s="20">
        <v>1</v>
      </c>
      <c r="D49" s="20" t="s">
        <v>121</v>
      </c>
      <c r="E49" s="22"/>
      <c r="F49" s="23"/>
      <c r="G49" s="20" t="s">
        <v>45</v>
      </c>
      <c r="H49" s="24"/>
    </row>
    <row r="50" spans="1:8" x14ac:dyDescent="0.2">
      <c r="A50" s="20" t="s">
        <v>122</v>
      </c>
      <c r="B50" s="21" t="s">
        <v>94</v>
      </c>
      <c r="C50" s="20">
        <v>46</v>
      </c>
      <c r="D50" s="20" t="s">
        <v>123</v>
      </c>
      <c r="E50" s="22"/>
      <c r="F50" s="23"/>
      <c r="G50" s="20" t="s">
        <v>45</v>
      </c>
      <c r="H50" s="24"/>
    </row>
    <row r="51" spans="1:8" x14ac:dyDescent="0.2">
      <c r="A51" s="20" t="s">
        <v>124</v>
      </c>
      <c r="B51" s="21" t="s">
        <v>94</v>
      </c>
      <c r="C51" s="20">
        <v>1</v>
      </c>
      <c r="D51" s="20" t="s">
        <v>125</v>
      </c>
      <c r="E51" s="22"/>
      <c r="F51" s="23"/>
      <c r="G51" s="20" t="s">
        <v>45</v>
      </c>
      <c r="H51" s="24"/>
    </row>
    <row r="52" spans="1:8" x14ac:dyDescent="0.2">
      <c r="A52" s="20" t="s">
        <v>126</v>
      </c>
      <c r="B52" s="21" t="s">
        <v>94</v>
      </c>
      <c r="C52" s="20">
        <v>46</v>
      </c>
      <c r="D52" s="20" t="s">
        <v>127</v>
      </c>
      <c r="E52" s="22"/>
      <c r="F52" s="23"/>
      <c r="G52" s="20" t="s">
        <v>45</v>
      </c>
      <c r="H52" s="24"/>
    </row>
    <row r="53" spans="1:8" x14ac:dyDescent="0.2">
      <c r="A53" s="20" t="s">
        <v>126</v>
      </c>
      <c r="B53" s="21" t="s">
        <v>94</v>
      </c>
      <c r="C53" s="20">
        <v>51</v>
      </c>
      <c r="D53" s="20" t="s">
        <v>127</v>
      </c>
      <c r="E53" s="22"/>
      <c r="F53" s="23"/>
      <c r="G53" s="20" t="s">
        <v>45</v>
      </c>
      <c r="H53" s="24"/>
    </row>
    <row r="54" spans="1:8" x14ac:dyDescent="0.2">
      <c r="A54" s="20" t="s">
        <v>128</v>
      </c>
      <c r="B54" s="21" t="s">
        <v>94</v>
      </c>
      <c r="C54" s="20">
        <v>1</v>
      </c>
      <c r="D54" s="20" t="s">
        <v>129</v>
      </c>
      <c r="E54" s="22"/>
      <c r="F54" s="23"/>
      <c r="G54" s="20" t="s">
        <v>45</v>
      </c>
      <c r="H54" s="24"/>
    </row>
    <row r="55" spans="1:8" x14ac:dyDescent="0.2">
      <c r="A55" s="20" t="s">
        <v>130</v>
      </c>
      <c r="B55" s="21" t="s">
        <v>94</v>
      </c>
      <c r="C55" s="20">
        <v>46</v>
      </c>
      <c r="D55" s="20" t="s">
        <v>131</v>
      </c>
      <c r="E55" s="22"/>
      <c r="F55" s="23"/>
      <c r="G55" s="20" t="s">
        <v>45</v>
      </c>
      <c r="H55" s="24"/>
    </row>
    <row r="56" spans="1:8" x14ac:dyDescent="0.2">
      <c r="A56" s="20" t="s">
        <v>130</v>
      </c>
      <c r="B56" s="21" t="s">
        <v>94</v>
      </c>
      <c r="C56" s="20">
        <v>51</v>
      </c>
      <c r="D56" s="20" t="s">
        <v>131</v>
      </c>
      <c r="E56" s="22"/>
      <c r="F56" s="23"/>
      <c r="G56" s="20" t="s">
        <v>45</v>
      </c>
      <c r="H56" s="24"/>
    </row>
    <row r="57" spans="1:8" x14ac:dyDescent="0.2">
      <c r="A57" s="20" t="s">
        <v>132</v>
      </c>
      <c r="B57" s="21" t="s">
        <v>94</v>
      </c>
      <c r="C57" s="20">
        <v>1</v>
      </c>
      <c r="D57" s="20" t="s">
        <v>133</v>
      </c>
      <c r="E57" s="22"/>
      <c r="F57" s="23"/>
      <c r="G57" s="20" t="s">
        <v>45</v>
      </c>
      <c r="H57" s="24"/>
    </row>
    <row r="58" spans="1:8" x14ac:dyDescent="0.2">
      <c r="A58" s="20" t="s">
        <v>134</v>
      </c>
      <c r="B58" s="21" t="s">
        <v>94</v>
      </c>
      <c r="C58" s="20">
        <v>46</v>
      </c>
      <c r="D58" s="20" t="s">
        <v>135</v>
      </c>
      <c r="E58" s="22"/>
      <c r="F58" s="23"/>
      <c r="G58" s="20" t="s">
        <v>45</v>
      </c>
      <c r="H58" s="24"/>
    </row>
    <row r="59" spans="1:8" x14ac:dyDescent="0.2">
      <c r="A59" s="20" t="s">
        <v>136</v>
      </c>
      <c r="B59" s="21" t="s">
        <v>94</v>
      </c>
      <c r="C59" s="20">
        <v>1</v>
      </c>
      <c r="D59" s="20" t="s">
        <v>137</v>
      </c>
      <c r="E59" s="22"/>
      <c r="F59" s="23"/>
      <c r="G59" s="20" t="s">
        <v>45</v>
      </c>
      <c r="H59" s="24"/>
    </row>
    <row r="60" spans="1:8" x14ac:dyDescent="0.2">
      <c r="A60" s="20" t="s">
        <v>138</v>
      </c>
      <c r="B60" s="21" t="s">
        <v>94</v>
      </c>
      <c r="C60" s="20">
        <v>46</v>
      </c>
      <c r="D60" s="20" t="s">
        <v>139</v>
      </c>
      <c r="E60" s="22"/>
      <c r="F60" s="23"/>
      <c r="G60" s="20" t="s">
        <v>45</v>
      </c>
      <c r="H60" s="24"/>
    </row>
    <row r="61" spans="1:8" x14ac:dyDescent="0.2">
      <c r="A61" s="20" t="s">
        <v>138</v>
      </c>
      <c r="B61" s="21" t="s">
        <v>94</v>
      </c>
      <c r="C61" s="20">
        <v>51</v>
      </c>
      <c r="D61" s="20" t="s">
        <v>139</v>
      </c>
      <c r="E61" s="22"/>
      <c r="F61" s="23"/>
      <c r="G61" s="20" t="s">
        <v>45</v>
      </c>
      <c r="H61" s="24"/>
    </row>
    <row r="62" spans="1:8" x14ac:dyDescent="0.2">
      <c r="A62" s="20" t="s">
        <v>140</v>
      </c>
      <c r="B62" s="21" t="s">
        <v>94</v>
      </c>
      <c r="C62" s="20">
        <v>1</v>
      </c>
      <c r="D62" s="20" t="s">
        <v>141</v>
      </c>
      <c r="E62" s="22"/>
      <c r="F62" s="23"/>
      <c r="G62" s="20" t="s">
        <v>45</v>
      </c>
      <c r="H62" s="24"/>
    </row>
    <row r="63" spans="1:8" x14ac:dyDescent="0.2">
      <c r="A63" s="20" t="s">
        <v>142</v>
      </c>
      <c r="B63" s="21" t="s">
        <v>94</v>
      </c>
      <c r="C63" s="20">
        <v>1</v>
      </c>
      <c r="D63" s="20" t="s">
        <v>143</v>
      </c>
      <c r="E63" s="22"/>
      <c r="F63" s="23"/>
      <c r="G63" s="20" t="s">
        <v>45</v>
      </c>
      <c r="H63" s="24"/>
    </row>
    <row r="64" spans="1:8" x14ac:dyDescent="0.2">
      <c r="A64" s="20" t="s">
        <v>142</v>
      </c>
      <c r="B64" s="21" t="s">
        <v>94</v>
      </c>
      <c r="C64" s="20">
        <v>26</v>
      </c>
      <c r="D64" s="20" t="s">
        <v>143</v>
      </c>
      <c r="E64" s="22"/>
      <c r="F64" s="23"/>
      <c r="G64" s="20" t="s">
        <v>45</v>
      </c>
      <c r="H64" s="24"/>
    </row>
    <row r="65" spans="1:8" x14ac:dyDescent="0.2">
      <c r="A65" s="20" t="s">
        <v>142</v>
      </c>
      <c r="B65" s="21" t="s">
        <v>94</v>
      </c>
      <c r="C65" s="20">
        <v>46</v>
      </c>
      <c r="D65" s="20" t="s">
        <v>143</v>
      </c>
      <c r="E65" s="22"/>
      <c r="F65" s="23"/>
      <c r="G65" s="20" t="s">
        <v>45</v>
      </c>
      <c r="H65" s="24"/>
    </row>
    <row r="66" spans="1:8" x14ac:dyDescent="0.2">
      <c r="A66" s="20" t="s">
        <v>142</v>
      </c>
      <c r="B66" s="21" t="s">
        <v>94</v>
      </c>
      <c r="C66" s="20">
        <v>51</v>
      </c>
      <c r="D66" s="20" t="s">
        <v>143</v>
      </c>
      <c r="E66" s="22"/>
      <c r="F66" s="23"/>
      <c r="G66" s="20" t="s">
        <v>45</v>
      </c>
      <c r="H66" s="24"/>
    </row>
    <row r="67" spans="1:8" x14ac:dyDescent="0.2">
      <c r="A67" s="20" t="s">
        <v>144</v>
      </c>
      <c r="B67" s="21" t="s">
        <v>94</v>
      </c>
      <c r="C67" s="20">
        <v>1</v>
      </c>
      <c r="D67" s="20" t="s">
        <v>145</v>
      </c>
      <c r="E67" s="22"/>
      <c r="F67" s="23"/>
      <c r="G67" s="20" t="s">
        <v>45</v>
      </c>
      <c r="H67" s="24"/>
    </row>
    <row r="68" spans="1:8" x14ac:dyDescent="0.2">
      <c r="A68" s="20" t="s">
        <v>146</v>
      </c>
      <c r="B68" s="21" t="s">
        <v>94</v>
      </c>
      <c r="C68" s="20">
        <v>6</v>
      </c>
      <c r="D68" s="20" t="s">
        <v>147</v>
      </c>
      <c r="E68" s="22"/>
      <c r="F68" s="23"/>
      <c r="G68" s="20" t="s">
        <v>45</v>
      </c>
      <c r="H68" s="24"/>
    </row>
    <row r="69" spans="1:8" x14ac:dyDescent="0.2">
      <c r="A69" s="20" t="s">
        <v>146</v>
      </c>
      <c r="B69" s="21" t="s">
        <v>94</v>
      </c>
      <c r="C69" s="20">
        <v>46</v>
      </c>
      <c r="D69" s="20" t="s">
        <v>147</v>
      </c>
      <c r="E69" s="22"/>
      <c r="F69" s="23"/>
      <c r="G69" s="20" t="s">
        <v>45</v>
      </c>
      <c r="H69" s="24"/>
    </row>
    <row r="70" spans="1:8" x14ac:dyDescent="0.2">
      <c r="A70" s="25" t="s">
        <v>146</v>
      </c>
      <c r="B70" s="26" t="s">
        <v>94</v>
      </c>
      <c r="C70" s="25">
        <v>51</v>
      </c>
      <c r="D70" s="25" t="s">
        <v>147</v>
      </c>
      <c r="E70" s="27"/>
      <c r="F70" s="28"/>
      <c r="G70" s="25" t="s">
        <v>45</v>
      </c>
      <c r="H70" s="29"/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7050-07B0-4874-B5C4-05AF700EB216}">
  <dimension ref="A1:N7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1.2: ",tabeltype," regulier werk")</f>
        <v>Bijlage 1.2: Invultabel regulier werk</v>
      </c>
    </row>
    <row r="3" spans="1:14" ht="38.25" x14ac:dyDescent="0.2">
      <c r="A3" s="8" t="s">
        <v>148</v>
      </c>
      <c r="B3" s="8" t="s">
        <v>7</v>
      </c>
      <c r="C3" s="8" t="s">
        <v>149</v>
      </c>
      <c r="D3" s="8" t="s">
        <v>36</v>
      </c>
      <c r="E3" s="8" t="s">
        <v>150</v>
      </c>
      <c r="F3" s="8" t="s">
        <v>151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152</v>
      </c>
      <c r="L3" s="8" t="s">
        <v>153</v>
      </c>
      <c r="M3" s="8" t="s">
        <v>154</v>
      </c>
      <c r="N3" s="8" t="s">
        <v>155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156</v>
      </c>
      <c r="B6" s="15" t="s">
        <v>27</v>
      </c>
      <c r="C6" s="15" t="s">
        <v>157</v>
      </c>
      <c r="D6" s="15" t="s">
        <v>158</v>
      </c>
      <c r="E6" s="30">
        <v>56.8</v>
      </c>
      <c r="F6" s="30">
        <f t="shared" ref="F6:F37" si="0">E6*VLOOKUP(B6,dagsoorttabel1,2,FALSE)</f>
        <v>2.6729411764705882</v>
      </c>
      <c r="G6" s="31">
        <f>catpn_1_AHV_12</f>
        <v>0</v>
      </c>
      <c r="H6" s="32">
        <f>catdw_1_AHV_12</f>
        <v>0</v>
      </c>
      <c r="I6" s="15" t="s">
        <v>45</v>
      </c>
      <c r="J6" s="33">
        <f>cattf_1_AHV_12</f>
        <v>0</v>
      </c>
      <c r="K6" s="30">
        <f t="shared" ref="K6:K37" si="1">IF(OR(ISBLANK(G6),G6=0),0,F6/ROUND(G6,4))</f>
        <v>0</v>
      </c>
      <c r="L6" s="33">
        <f t="shared" ref="L6:L37" si="2">ROUND(J6,2)*K6</f>
        <v>0</v>
      </c>
      <c r="M6" s="30">
        <f t="shared" ref="M6:M37" si="3">K6*dagenperjaar1</f>
        <v>0</v>
      </c>
      <c r="N6" s="33">
        <f t="shared" ref="N6:N37" si="4">M6*ROUND(J6,2)</f>
        <v>0</v>
      </c>
    </row>
    <row r="7" spans="1:14" x14ac:dyDescent="0.2">
      <c r="A7" s="20" t="s">
        <v>156</v>
      </c>
      <c r="B7" s="20" t="s">
        <v>31</v>
      </c>
      <c r="C7" s="20" t="s">
        <v>157</v>
      </c>
      <c r="D7" s="20" t="s">
        <v>158</v>
      </c>
      <c r="E7" s="34">
        <v>134.80000000000001</v>
      </c>
      <c r="F7" s="34">
        <f t="shared" si="0"/>
        <v>1.0572549019607844</v>
      </c>
      <c r="G7" s="35">
        <f>catpn_1_AHV_2</f>
        <v>0</v>
      </c>
      <c r="H7" s="36">
        <f>catdw_1_AHV_2</f>
        <v>0</v>
      </c>
      <c r="I7" s="20" t="s">
        <v>45</v>
      </c>
      <c r="J7" s="37">
        <f>cattf_1_AHV_2</f>
        <v>0</v>
      </c>
      <c r="K7" s="34">
        <f t="shared" si="1"/>
        <v>0</v>
      </c>
      <c r="L7" s="37">
        <f t="shared" si="2"/>
        <v>0</v>
      </c>
      <c r="M7" s="34">
        <f t="shared" si="3"/>
        <v>0</v>
      </c>
      <c r="N7" s="37">
        <f t="shared" si="4"/>
        <v>0</v>
      </c>
    </row>
    <row r="8" spans="1:14" x14ac:dyDescent="0.2">
      <c r="A8" s="20" t="s">
        <v>156</v>
      </c>
      <c r="B8" s="20" t="s">
        <v>28</v>
      </c>
      <c r="C8" s="20" t="s">
        <v>157</v>
      </c>
      <c r="D8" s="20" t="s">
        <v>158</v>
      </c>
      <c r="E8" s="34">
        <v>65.3</v>
      </c>
      <c r="F8" s="34">
        <f t="shared" si="0"/>
        <v>1.536470588235294</v>
      </c>
      <c r="G8" s="35">
        <f>catpn_1_AHV_6</f>
        <v>0</v>
      </c>
      <c r="H8" s="36">
        <f>catdw_1_AHV_6</f>
        <v>0</v>
      </c>
      <c r="I8" s="20" t="s">
        <v>45</v>
      </c>
      <c r="J8" s="37">
        <f>cattf_1_AHV_6</f>
        <v>0</v>
      </c>
      <c r="K8" s="34">
        <f t="shared" si="1"/>
        <v>0</v>
      </c>
      <c r="L8" s="37">
        <f t="shared" si="2"/>
        <v>0</v>
      </c>
      <c r="M8" s="34">
        <f t="shared" si="3"/>
        <v>0</v>
      </c>
      <c r="N8" s="37">
        <f t="shared" si="4"/>
        <v>0</v>
      </c>
    </row>
    <row r="9" spans="1:14" x14ac:dyDescent="0.2">
      <c r="A9" s="20" t="s">
        <v>159</v>
      </c>
      <c r="B9" s="20" t="s">
        <v>23</v>
      </c>
      <c r="C9" s="20" t="s">
        <v>157</v>
      </c>
      <c r="D9" s="20" t="s">
        <v>160</v>
      </c>
      <c r="E9" s="34">
        <v>72.3</v>
      </c>
      <c r="F9" s="34">
        <f t="shared" si="0"/>
        <v>13.042352941176469</v>
      </c>
      <c r="G9" s="35">
        <f>IF(AND(catpn_1_AZB_1&gt;0,catpn_1_AZV_46&gt;0),(dagenperjaar1*VLOOKUP(B9,dagsoorttabel1,2,FALSE))/(((dagenperjaar1*VLOOKUP(B9,dagsoorttabel1,2,FALSE))-catfd_1_AZV_46)/catpn_1_AZB_1+catfd_1_AZV_46/catpn_1_AZV_46),0)</f>
        <v>0</v>
      </c>
      <c r="H9" s="36">
        <f>IF(AND(catpn_1_AZB_1&gt;0,catpn_1_AZV_46&gt;0),(catdw_1_AZB_1*((dagenperjaar1*VLOOKUP(B9,dagsoorttabel1,2,FALSE))-catfd_1_AZV_46)/catpn_1_AZB_1+catdw_1_AZV_46*catfd_1_AZV_46/catpn_1_AZV_46)/(((dagenperjaar1*VLOOKUP(B9,dagsoorttabel1,2,FALSE))-catfd_1_AZV_46)/catpn_1_AZB_1+catfd_1_AZV_46/catpn_1_AZV_46),0)</f>
        <v>0</v>
      </c>
      <c r="I9" s="20" t="s">
        <v>45</v>
      </c>
      <c r="J9" s="37">
        <f>IF(AND(catpn_1_AZB_1&gt;0,catpn_1_AZV_46&gt;0),(cattf_1_AZB_1*((dagenperjaar1*VLOOKUP(B9,dagsoorttabel1,2,FALSE))-catfd_1_AZV_46)/catpn_1_AZB_1+cattf_1_AZV_46*catfd_1_AZV_46/catpn_1_AZV_46)/(((dagenperjaar1*VLOOKUP(B9,dagsoorttabel1,2,FALSE))-catfd_1_AZV_46)/catpn_1_AZB_1+catfd_1_AZV_46/catpn_1_AZV_46),0)</f>
        <v>0</v>
      </c>
      <c r="K9" s="34">
        <f t="shared" si="1"/>
        <v>0</v>
      </c>
      <c r="L9" s="37">
        <f t="shared" si="2"/>
        <v>0</v>
      </c>
      <c r="M9" s="34">
        <f t="shared" si="3"/>
        <v>0</v>
      </c>
      <c r="N9" s="37">
        <f t="shared" si="4"/>
        <v>0</v>
      </c>
    </row>
    <row r="10" spans="1:14" x14ac:dyDescent="0.2">
      <c r="A10" s="20" t="s">
        <v>161</v>
      </c>
      <c r="B10" s="20" t="s">
        <v>17</v>
      </c>
      <c r="C10" s="20" t="s">
        <v>157</v>
      </c>
      <c r="D10" s="20" t="s">
        <v>162</v>
      </c>
      <c r="E10" s="34">
        <v>1967.5</v>
      </c>
      <c r="F10" s="34">
        <f t="shared" si="0"/>
        <v>887.30392156862752</v>
      </c>
      <c r="G10" s="35">
        <f>IF(AND(catpn_1_BHB_1&gt;0,catpn_1_BHV_46&gt;0),(dagenperjaar1*VLOOKUP(B10,dagsoorttabel1,2,FALSE))/(((dagenperjaar1*VLOOKUP(B10,dagsoorttabel1,2,FALSE))-catfd_1_BHV_46)/catpn_1_BHB_1+catfd_1_BHV_46/catpn_1_BHV_46),0)</f>
        <v>0</v>
      </c>
      <c r="H10" s="36">
        <f>IF(AND(catpn_1_BHB_1&gt;0,catpn_1_BHV_46&gt;0),(catdw_1_BHB_1*((dagenperjaar1*VLOOKUP(B10,dagsoorttabel1,2,FALSE))-catfd_1_BHV_46)/catpn_1_BHB_1+catdw_1_BHV_46*catfd_1_BHV_46/catpn_1_BHV_46)/(((dagenperjaar1*VLOOKUP(B10,dagsoorttabel1,2,FALSE))-catfd_1_BHV_46)/catpn_1_BHB_1+catfd_1_BHV_46/catpn_1_BHV_46),0)</f>
        <v>0</v>
      </c>
      <c r="I10" s="20" t="s">
        <v>45</v>
      </c>
      <c r="J10" s="37">
        <f>IF(AND(catpn_1_BHB_1&gt;0,catpn_1_BHV_46&gt;0),(cattf_1_BHB_1*((dagenperjaar1*VLOOKUP(B10,dagsoorttabel1,2,FALSE))-catfd_1_BHV_46)/catpn_1_BHB_1+cattf_1_BHV_46*catfd_1_BHV_46/catpn_1_BHV_46)/(((dagenperjaar1*VLOOKUP(B10,dagsoorttabel1,2,FALSE))-catfd_1_BHV_46)/catpn_1_BHB_1+catfd_1_BHV_46/catpn_1_BHV_46),0)</f>
        <v>0</v>
      </c>
      <c r="K10" s="34">
        <f t="shared" si="1"/>
        <v>0</v>
      </c>
      <c r="L10" s="37">
        <f t="shared" si="2"/>
        <v>0</v>
      </c>
      <c r="M10" s="34">
        <f t="shared" si="3"/>
        <v>0</v>
      </c>
      <c r="N10" s="37">
        <f t="shared" si="4"/>
        <v>0</v>
      </c>
    </row>
    <row r="11" spans="1:14" x14ac:dyDescent="0.2">
      <c r="A11" s="20" t="s">
        <v>161</v>
      </c>
      <c r="B11" s="20" t="s">
        <v>16</v>
      </c>
      <c r="C11" s="20" t="s">
        <v>157</v>
      </c>
      <c r="D11" s="20" t="s">
        <v>162</v>
      </c>
      <c r="E11" s="34">
        <v>256.59999999999997</v>
      </c>
      <c r="F11" s="34">
        <f t="shared" si="0"/>
        <v>127.79686274509803</v>
      </c>
      <c r="G11" s="35">
        <f>IF(AND(catpn_1_BHB_1&gt;0,catpn_1_BHV_51&gt;0),(dagenperjaar1*VLOOKUP(B11,dagsoorttabel1,2,FALSE))/(((dagenperjaar1*VLOOKUP(B11,dagsoorttabel1,2,FALSE))-catfd_1_BHV_51)/catpn_1_BHB_1+catfd_1_BHV_51/catpn_1_BHV_51),0)</f>
        <v>0</v>
      </c>
      <c r="H11" s="36">
        <f>IF(AND(catpn_1_BHB_1&gt;0,catpn_1_BHV_51&gt;0),(catdw_1_BHB_1*((dagenperjaar1*VLOOKUP(B11,dagsoorttabel1,2,FALSE))-catfd_1_BHV_51)/catpn_1_BHB_1+catdw_1_BHV_51*catfd_1_BHV_51/catpn_1_BHV_51)/(((dagenperjaar1*VLOOKUP(B11,dagsoorttabel1,2,FALSE))-catfd_1_BHV_51)/catpn_1_BHB_1+catfd_1_BHV_51/catpn_1_BHV_51),0)</f>
        <v>0</v>
      </c>
      <c r="I11" s="20" t="s">
        <v>45</v>
      </c>
      <c r="J11" s="37">
        <f>IF(AND(catpn_1_BHB_1&gt;0,catpn_1_BHV_51&gt;0),(cattf_1_BHB_1*((dagenperjaar1*VLOOKUP(B11,dagsoorttabel1,2,FALSE))-catfd_1_BHV_51)/catpn_1_BHB_1+cattf_1_BHV_51*catfd_1_BHV_51/catpn_1_BHV_51)/(((dagenperjaar1*VLOOKUP(B11,dagsoorttabel1,2,FALSE))-catfd_1_BHV_51)/catpn_1_BHB_1+catfd_1_BHV_51/catpn_1_BHV_51),0)</f>
        <v>0</v>
      </c>
      <c r="K11" s="34">
        <f t="shared" si="1"/>
        <v>0</v>
      </c>
      <c r="L11" s="37">
        <f t="shared" si="2"/>
        <v>0</v>
      </c>
      <c r="M11" s="34">
        <f t="shared" si="3"/>
        <v>0</v>
      </c>
      <c r="N11" s="37">
        <f t="shared" si="4"/>
        <v>0</v>
      </c>
    </row>
    <row r="12" spans="1:14" x14ac:dyDescent="0.2">
      <c r="A12" s="20" t="s">
        <v>161</v>
      </c>
      <c r="B12" s="20" t="s">
        <v>12</v>
      </c>
      <c r="C12" s="20" t="s">
        <v>157</v>
      </c>
      <c r="D12" s="20" t="s">
        <v>162</v>
      </c>
      <c r="E12" s="34">
        <v>231.1</v>
      </c>
      <c r="F12" s="34">
        <f t="shared" si="0"/>
        <v>208.44313725490196</v>
      </c>
      <c r="G12" s="35">
        <f>IF(AND(catpn_1_BHB_1&gt;0,catpn_1_BHV_46&gt;0),(dagenperjaar1*VLOOKUP(B12,dagsoorttabel1,2,FALSE))/(((dagenperjaar1*VLOOKUP(B12,dagsoorttabel1,2,FALSE))-catfd_1_BHV_46)/catpn_1_BHB_1+catfd_1_BHV_46/catpn_1_BHV_46),0)</f>
        <v>0</v>
      </c>
      <c r="H12" s="36">
        <f>IF(AND(catpn_1_BHB_1&gt;0,catpn_1_BHV_46&gt;0),(catdw_1_BHB_1*((dagenperjaar1*VLOOKUP(B12,dagsoorttabel1,2,FALSE))-catfd_1_BHV_46)/catpn_1_BHB_1+catdw_1_BHV_46*catfd_1_BHV_46/catpn_1_BHV_46)/(((dagenperjaar1*VLOOKUP(B12,dagsoorttabel1,2,FALSE))-catfd_1_BHV_46)/catpn_1_BHB_1+catfd_1_BHV_46/catpn_1_BHV_46),0)</f>
        <v>0</v>
      </c>
      <c r="I12" s="20" t="s">
        <v>45</v>
      </c>
      <c r="J12" s="37">
        <f>IF(AND(catpn_1_BHB_1&gt;0,catpn_1_BHV_46&gt;0),(cattf_1_BHB_1*((dagenperjaar1*VLOOKUP(B12,dagsoorttabel1,2,FALSE))-catfd_1_BHV_46)/catpn_1_BHB_1+cattf_1_BHV_46*catfd_1_BHV_46/catpn_1_BHV_46)/(((dagenperjaar1*VLOOKUP(B12,dagsoorttabel1,2,FALSE))-catfd_1_BHV_46)/catpn_1_BHB_1+catfd_1_BHV_46/catpn_1_BHV_46),0)</f>
        <v>0</v>
      </c>
      <c r="K12" s="34">
        <f t="shared" si="1"/>
        <v>0</v>
      </c>
      <c r="L12" s="37">
        <f t="shared" si="2"/>
        <v>0</v>
      </c>
      <c r="M12" s="34">
        <f t="shared" si="3"/>
        <v>0</v>
      </c>
      <c r="N12" s="37">
        <f t="shared" si="4"/>
        <v>0</v>
      </c>
    </row>
    <row r="13" spans="1:14" x14ac:dyDescent="0.2">
      <c r="A13" s="20" t="s">
        <v>161</v>
      </c>
      <c r="B13" s="20" t="s">
        <v>11</v>
      </c>
      <c r="C13" s="20" t="s">
        <v>157</v>
      </c>
      <c r="D13" s="20" t="s">
        <v>162</v>
      </c>
      <c r="E13" s="34">
        <v>12.5</v>
      </c>
      <c r="F13" s="34">
        <f t="shared" si="0"/>
        <v>12.5</v>
      </c>
      <c r="G13" s="35">
        <f>IF(AND(catpn_1_BHB_1&gt;0,catpn_1_BHV_51&gt;0),(dagenperjaar1*VLOOKUP(B13,dagsoorttabel1,2,FALSE))/(((dagenperjaar1*VLOOKUP(B13,dagsoorttabel1,2,FALSE))-catfd_1_BHV_51)/catpn_1_BHB_1+catfd_1_BHV_51/catpn_1_BHV_51),0)</f>
        <v>0</v>
      </c>
      <c r="H13" s="36">
        <f>IF(AND(catpn_1_BHB_1&gt;0,catpn_1_BHV_51&gt;0),(catdw_1_BHB_1*((dagenperjaar1*VLOOKUP(B13,dagsoorttabel1,2,FALSE))-catfd_1_BHV_51)/catpn_1_BHB_1+catdw_1_BHV_51*catfd_1_BHV_51/catpn_1_BHV_51)/(((dagenperjaar1*VLOOKUP(B13,dagsoorttabel1,2,FALSE))-catfd_1_BHV_51)/catpn_1_BHB_1+catfd_1_BHV_51/catpn_1_BHV_51),0)</f>
        <v>0</v>
      </c>
      <c r="I13" s="20" t="s">
        <v>45</v>
      </c>
      <c r="J13" s="37">
        <f>IF(AND(catpn_1_BHB_1&gt;0,catpn_1_BHV_51&gt;0),(cattf_1_BHB_1*((dagenperjaar1*VLOOKUP(B13,dagsoorttabel1,2,FALSE))-catfd_1_BHV_51)/catpn_1_BHB_1+cattf_1_BHV_51*catfd_1_BHV_51/catpn_1_BHV_51)/(((dagenperjaar1*VLOOKUP(B13,dagsoorttabel1,2,FALSE))-catfd_1_BHV_51)/catpn_1_BHB_1+catfd_1_BHV_51/catpn_1_BHV_51),0)</f>
        <v>0</v>
      </c>
      <c r="K13" s="34">
        <f t="shared" si="1"/>
        <v>0</v>
      </c>
      <c r="L13" s="37">
        <f t="shared" si="2"/>
        <v>0</v>
      </c>
      <c r="M13" s="34">
        <f t="shared" si="3"/>
        <v>0</v>
      </c>
      <c r="N13" s="37">
        <f t="shared" si="4"/>
        <v>0</v>
      </c>
    </row>
    <row r="14" spans="1:14" x14ac:dyDescent="0.2">
      <c r="A14" s="20" t="s">
        <v>161</v>
      </c>
      <c r="B14" s="20" t="s">
        <v>23</v>
      </c>
      <c r="C14" s="20" t="s">
        <v>157</v>
      </c>
      <c r="D14" s="20" t="s">
        <v>162</v>
      </c>
      <c r="E14" s="34">
        <v>53.900000000000006</v>
      </c>
      <c r="F14" s="34">
        <f t="shared" si="0"/>
        <v>9.7231372549019621</v>
      </c>
      <c r="G14" s="35">
        <f>IF(AND(catpn_1_BHB_1&gt;0,catpn_1_BHV_46&gt;0),(dagenperjaar1*VLOOKUP(B14,dagsoorttabel1,2,FALSE))/(((dagenperjaar1*VLOOKUP(B14,dagsoorttabel1,2,FALSE))-catfd_1_BHV_46)/catpn_1_BHB_1+catfd_1_BHV_46/catpn_1_BHV_46),0)</f>
        <v>0</v>
      </c>
      <c r="H14" s="36">
        <f>IF(AND(catpn_1_BHB_1&gt;0,catpn_1_BHV_46&gt;0),(catdw_1_BHB_1*((dagenperjaar1*VLOOKUP(B14,dagsoorttabel1,2,FALSE))-catfd_1_BHV_46)/catpn_1_BHB_1+catdw_1_BHV_46*catfd_1_BHV_46/catpn_1_BHV_46)/(((dagenperjaar1*VLOOKUP(B14,dagsoorttabel1,2,FALSE))-catfd_1_BHV_46)/catpn_1_BHB_1+catfd_1_BHV_46/catpn_1_BHV_46),0)</f>
        <v>0</v>
      </c>
      <c r="I14" s="20" t="s">
        <v>45</v>
      </c>
      <c r="J14" s="37">
        <f>IF(AND(catpn_1_BHB_1&gt;0,catpn_1_BHV_46&gt;0),(cattf_1_BHB_1*((dagenperjaar1*VLOOKUP(B14,dagsoorttabel1,2,FALSE))-catfd_1_BHV_46)/catpn_1_BHB_1+cattf_1_BHV_46*catfd_1_BHV_46/catpn_1_BHV_46)/(((dagenperjaar1*VLOOKUP(B14,dagsoorttabel1,2,FALSE))-catfd_1_BHV_46)/catpn_1_BHB_1+catfd_1_BHV_46/catpn_1_BHV_46),0)</f>
        <v>0</v>
      </c>
      <c r="K14" s="34">
        <f t="shared" si="1"/>
        <v>0</v>
      </c>
      <c r="L14" s="37">
        <f t="shared" si="2"/>
        <v>0</v>
      </c>
      <c r="M14" s="34">
        <f t="shared" si="3"/>
        <v>0</v>
      </c>
      <c r="N14" s="37">
        <f t="shared" si="4"/>
        <v>0</v>
      </c>
    </row>
    <row r="15" spans="1:14" x14ac:dyDescent="0.2">
      <c r="A15" s="20" t="s">
        <v>161</v>
      </c>
      <c r="B15" s="20" t="s">
        <v>22</v>
      </c>
      <c r="C15" s="20" t="s">
        <v>157</v>
      </c>
      <c r="D15" s="20" t="s">
        <v>162</v>
      </c>
      <c r="E15" s="34">
        <v>38.900000000000006</v>
      </c>
      <c r="F15" s="34">
        <f t="shared" si="0"/>
        <v>7.7800000000000011</v>
      </c>
      <c r="G15" s="35">
        <f>IF(AND(catpn_1_BHB_1&gt;0,catpn_1_BHV_51&gt;0),(dagenperjaar1*VLOOKUP(B15,dagsoorttabel1,2,FALSE))/(((dagenperjaar1*VLOOKUP(B15,dagsoorttabel1,2,FALSE))-catfd_1_BHV_51)/catpn_1_BHB_1+catfd_1_BHV_51/catpn_1_BHV_51),0)</f>
        <v>0</v>
      </c>
      <c r="H15" s="36">
        <f>IF(AND(catpn_1_BHB_1&gt;0,catpn_1_BHV_51&gt;0),(catdw_1_BHB_1*((dagenperjaar1*VLOOKUP(B15,dagsoorttabel1,2,FALSE))-catfd_1_BHV_51)/catpn_1_BHB_1+catdw_1_BHV_51*catfd_1_BHV_51/catpn_1_BHV_51)/(((dagenperjaar1*VLOOKUP(B15,dagsoorttabel1,2,FALSE))-catfd_1_BHV_51)/catpn_1_BHB_1+catfd_1_BHV_51/catpn_1_BHV_51),0)</f>
        <v>0</v>
      </c>
      <c r="I15" s="20" t="s">
        <v>45</v>
      </c>
      <c r="J15" s="37">
        <f>IF(AND(catpn_1_BHB_1&gt;0,catpn_1_BHV_51&gt;0),(cattf_1_BHB_1*((dagenperjaar1*VLOOKUP(B15,dagsoorttabel1,2,FALSE))-catfd_1_BHV_51)/catpn_1_BHB_1+cattf_1_BHV_51*catfd_1_BHV_51/catpn_1_BHV_51)/(((dagenperjaar1*VLOOKUP(B15,dagsoorttabel1,2,FALSE))-catfd_1_BHV_51)/catpn_1_BHB_1+catfd_1_BHV_51/catpn_1_BHV_51),0)</f>
        <v>0</v>
      </c>
      <c r="K15" s="34">
        <f t="shared" si="1"/>
        <v>0</v>
      </c>
      <c r="L15" s="37">
        <f t="shared" si="2"/>
        <v>0</v>
      </c>
      <c r="M15" s="34">
        <f t="shared" si="3"/>
        <v>0</v>
      </c>
      <c r="N15" s="37">
        <f t="shared" si="4"/>
        <v>0</v>
      </c>
    </row>
    <row r="16" spans="1:14" x14ac:dyDescent="0.2">
      <c r="A16" s="20" t="s">
        <v>163</v>
      </c>
      <c r="B16" s="20" t="s">
        <v>17</v>
      </c>
      <c r="C16" s="20" t="s">
        <v>157</v>
      </c>
      <c r="D16" s="20" t="s">
        <v>162</v>
      </c>
      <c r="E16" s="34">
        <v>32.799999999999997</v>
      </c>
      <c r="F16" s="34">
        <f t="shared" si="0"/>
        <v>14.792156862745097</v>
      </c>
      <c r="G16" s="35">
        <f>IF(AND(catpn_1_BZB_1&gt;0,catpn_1_BZV_46&gt;0),(dagenperjaar1*VLOOKUP(B16,dagsoorttabel1,2,FALSE))/(((dagenperjaar1*VLOOKUP(B16,dagsoorttabel1,2,FALSE))-catfd_1_BZV_46)/catpn_1_BZB_1+catfd_1_BZV_46/catpn_1_BZV_46),0)</f>
        <v>0</v>
      </c>
      <c r="H16" s="36">
        <f>IF(AND(catpn_1_BZB_1&gt;0,catpn_1_BZV_46&gt;0),(catdw_1_BZB_1*((dagenperjaar1*VLOOKUP(B16,dagsoorttabel1,2,FALSE))-catfd_1_BZV_46)/catpn_1_BZB_1+catdw_1_BZV_46*catfd_1_BZV_46/catpn_1_BZV_46)/(((dagenperjaar1*VLOOKUP(B16,dagsoorttabel1,2,FALSE))-catfd_1_BZV_46)/catpn_1_BZB_1+catfd_1_BZV_46/catpn_1_BZV_46),0)</f>
        <v>0</v>
      </c>
      <c r="I16" s="20" t="s">
        <v>45</v>
      </c>
      <c r="J16" s="37">
        <f>IF(AND(catpn_1_BZB_1&gt;0,catpn_1_BZV_46&gt;0),(cattf_1_BZB_1*((dagenperjaar1*VLOOKUP(B16,dagsoorttabel1,2,FALSE))-catfd_1_BZV_46)/catpn_1_BZB_1+cattf_1_BZV_46*catfd_1_BZV_46/catpn_1_BZV_46)/(((dagenperjaar1*VLOOKUP(B16,dagsoorttabel1,2,FALSE))-catfd_1_BZV_46)/catpn_1_BZB_1+catfd_1_BZV_46/catpn_1_BZV_46),0)</f>
        <v>0</v>
      </c>
      <c r="K16" s="34">
        <f t="shared" si="1"/>
        <v>0</v>
      </c>
      <c r="L16" s="37">
        <f t="shared" si="2"/>
        <v>0</v>
      </c>
      <c r="M16" s="34">
        <f t="shared" si="3"/>
        <v>0</v>
      </c>
      <c r="N16" s="37">
        <f t="shared" si="4"/>
        <v>0</v>
      </c>
    </row>
    <row r="17" spans="1:14" x14ac:dyDescent="0.2">
      <c r="A17" s="20" t="s">
        <v>163</v>
      </c>
      <c r="B17" s="20" t="s">
        <v>16</v>
      </c>
      <c r="C17" s="20" t="s">
        <v>157</v>
      </c>
      <c r="D17" s="20" t="s">
        <v>162</v>
      </c>
      <c r="E17" s="34">
        <v>18.2</v>
      </c>
      <c r="F17" s="34">
        <f t="shared" si="0"/>
        <v>9.0643137254901962</v>
      </c>
      <c r="G17" s="35">
        <f>IF(AND(catpn_1_BZB_1&gt;0,catpn_1_BZV_51&gt;0),(dagenperjaar1*VLOOKUP(B17,dagsoorttabel1,2,FALSE))/(((dagenperjaar1*VLOOKUP(B17,dagsoorttabel1,2,FALSE))-catfd_1_BZV_51)/catpn_1_BZB_1+catfd_1_BZV_51/catpn_1_BZV_51),0)</f>
        <v>0</v>
      </c>
      <c r="H17" s="36">
        <f>IF(AND(catpn_1_BZB_1&gt;0,catpn_1_BZV_51&gt;0),(catdw_1_BZB_1*((dagenperjaar1*VLOOKUP(B17,dagsoorttabel1,2,FALSE))-catfd_1_BZV_51)/catpn_1_BZB_1+catdw_1_BZV_51*catfd_1_BZV_51/catpn_1_BZV_51)/(((dagenperjaar1*VLOOKUP(B17,dagsoorttabel1,2,FALSE))-catfd_1_BZV_51)/catpn_1_BZB_1+catfd_1_BZV_51/catpn_1_BZV_51),0)</f>
        <v>0</v>
      </c>
      <c r="I17" s="20" t="s">
        <v>45</v>
      </c>
      <c r="J17" s="37">
        <f>IF(AND(catpn_1_BZB_1&gt;0,catpn_1_BZV_51&gt;0),(cattf_1_BZB_1*((dagenperjaar1*VLOOKUP(B17,dagsoorttabel1,2,FALSE))-catfd_1_BZV_51)/catpn_1_BZB_1+cattf_1_BZV_51*catfd_1_BZV_51/catpn_1_BZV_51)/(((dagenperjaar1*VLOOKUP(B17,dagsoorttabel1,2,FALSE))-catfd_1_BZV_51)/catpn_1_BZB_1+catfd_1_BZV_51/catpn_1_BZV_51),0)</f>
        <v>0</v>
      </c>
      <c r="K17" s="34">
        <f t="shared" si="1"/>
        <v>0</v>
      </c>
      <c r="L17" s="37">
        <f t="shared" si="2"/>
        <v>0</v>
      </c>
      <c r="M17" s="34">
        <f t="shared" si="3"/>
        <v>0</v>
      </c>
      <c r="N17" s="37">
        <f t="shared" si="4"/>
        <v>0</v>
      </c>
    </row>
    <row r="18" spans="1:14" x14ac:dyDescent="0.2">
      <c r="A18" s="20" t="s">
        <v>163</v>
      </c>
      <c r="B18" s="20" t="s">
        <v>12</v>
      </c>
      <c r="C18" s="20" t="s">
        <v>157</v>
      </c>
      <c r="D18" s="20" t="s">
        <v>164</v>
      </c>
      <c r="E18" s="34">
        <v>26.8</v>
      </c>
      <c r="F18" s="34">
        <f t="shared" si="0"/>
        <v>24.172549019607843</v>
      </c>
      <c r="G18" s="35">
        <f>IF(AND(catpn_1_BZB_1&gt;0,catpn_1_BZV_46&gt;0),(dagenperjaar1*VLOOKUP(B18,dagsoorttabel1,2,FALSE))/(((dagenperjaar1*VLOOKUP(B18,dagsoorttabel1,2,FALSE))-catfd_1_BZV_46)/catpn_1_BZB_1+catfd_1_BZV_46/catpn_1_BZV_46),0)</f>
        <v>0</v>
      </c>
      <c r="H18" s="36">
        <f>IF(AND(catpn_1_BZB_1&gt;0,catpn_1_BZV_46&gt;0),(catdw_1_BZB_1*((dagenperjaar1*VLOOKUP(B18,dagsoorttabel1,2,FALSE))-catfd_1_BZV_46)/catpn_1_BZB_1+catdw_1_BZV_46*catfd_1_BZV_46/catpn_1_BZV_46)/(((dagenperjaar1*VLOOKUP(B18,dagsoorttabel1,2,FALSE))-catfd_1_BZV_46)/catpn_1_BZB_1+catfd_1_BZV_46/catpn_1_BZV_46),0)</f>
        <v>0</v>
      </c>
      <c r="I18" s="20" t="s">
        <v>45</v>
      </c>
      <c r="J18" s="37">
        <f>IF(AND(catpn_1_BZB_1&gt;0,catpn_1_BZV_46&gt;0),(cattf_1_BZB_1*((dagenperjaar1*VLOOKUP(B18,dagsoorttabel1,2,FALSE))-catfd_1_BZV_46)/catpn_1_BZB_1+cattf_1_BZV_46*catfd_1_BZV_46/catpn_1_BZV_46)/(((dagenperjaar1*VLOOKUP(B18,dagsoorttabel1,2,FALSE))-catfd_1_BZV_46)/catpn_1_BZB_1+catfd_1_BZV_46/catpn_1_BZV_46),0)</f>
        <v>0</v>
      </c>
      <c r="K18" s="34">
        <f t="shared" si="1"/>
        <v>0</v>
      </c>
      <c r="L18" s="37">
        <f t="shared" si="2"/>
        <v>0</v>
      </c>
      <c r="M18" s="34">
        <f t="shared" si="3"/>
        <v>0</v>
      </c>
      <c r="N18" s="37">
        <f t="shared" si="4"/>
        <v>0</v>
      </c>
    </row>
    <row r="19" spans="1:14" x14ac:dyDescent="0.2">
      <c r="A19" s="20" t="s">
        <v>165</v>
      </c>
      <c r="B19" s="20" t="s">
        <v>12</v>
      </c>
      <c r="C19" s="20" t="s">
        <v>157</v>
      </c>
      <c r="D19" s="20" t="s">
        <v>166</v>
      </c>
      <c r="E19" s="34">
        <v>200.2</v>
      </c>
      <c r="F19" s="34">
        <f t="shared" si="0"/>
        <v>180.57254901960783</v>
      </c>
      <c r="G19" s="35">
        <f>IF(AND(catpn_1_CHB_1&gt;0,catpn_1_CHV_46&gt;0),(dagenperjaar1*VLOOKUP(B19,dagsoorttabel1,2,FALSE))/(((dagenperjaar1*VLOOKUP(B19,dagsoorttabel1,2,FALSE))-catfd_1_CHV_46)/catpn_1_CHB_1+catfd_1_CHV_46/catpn_1_CHV_46),0)</f>
        <v>0</v>
      </c>
      <c r="H19" s="36">
        <f>IF(AND(catpn_1_CHB_1&gt;0,catpn_1_CHV_46&gt;0),(catdw_1_CHB_1*((dagenperjaar1*VLOOKUP(B19,dagsoorttabel1,2,FALSE))-catfd_1_CHV_46)/catpn_1_CHB_1+catdw_1_CHV_46*catfd_1_CHV_46/catpn_1_CHV_46)/(((dagenperjaar1*VLOOKUP(B19,dagsoorttabel1,2,FALSE))-catfd_1_CHV_46)/catpn_1_CHB_1+catfd_1_CHV_46/catpn_1_CHV_46),0)</f>
        <v>0</v>
      </c>
      <c r="I19" s="20" t="s">
        <v>45</v>
      </c>
      <c r="J19" s="37">
        <f>IF(AND(catpn_1_CHB_1&gt;0,catpn_1_CHV_46&gt;0),(cattf_1_CHB_1*((dagenperjaar1*VLOOKUP(B19,dagsoorttabel1,2,FALSE))-catfd_1_CHV_46)/catpn_1_CHB_1+cattf_1_CHV_46*catfd_1_CHV_46/catpn_1_CHV_46)/(((dagenperjaar1*VLOOKUP(B19,dagsoorttabel1,2,FALSE))-catfd_1_CHV_46)/catpn_1_CHB_1+catfd_1_CHV_46/catpn_1_CHV_46),0)</f>
        <v>0</v>
      </c>
      <c r="K19" s="34">
        <f t="shared" si="1"/>
        <v>0</v>
      </c>
      <c r="L19" s="37">
        <f t="shared" si="2"/>
        <v>0</v>
      </c>
      <c r="M19" s="34">
        <f t="shared" si="3"/>
        <v>0</v>
      </c>
      <c r="N19" s="37">
        <f t="shared" si="4"/>
        <v>0</v>
      </c>
    </row>
    <row r="20" spans="1:14" x14ac:dyDescent="0.2">
      <c r="A20" s="20" t="s">
        <v>167</v>
      </c>
      <c r="B20" s="20" t="s">
        <v>12</v>
      </c>
      <c r="C20" s="20" t="s">
        <v>157</v>
      </c>
      <c r="D20" s="20" t="s">
        <v>168</v>
      </c>
      <c r="E20" s="34">
        <v>133</v>
      </c>
      <c r="F20" s="34">
        <f t="shared" si="0"/>
        <v>119.9607843137255</v>
      </c>
      <c r="G20" s="35">
        <f>IF(AND(catpn_1_CZB_1&gt;0,catpn_1_CZV_46&gt;0),(dagenperjaar1*VLOOKUP(B20,dagsoorttabel1,2,FALSE))/(((dagenperjaar1*VLOOKUP(B20,dagsoorttabel1,2,FALSE))-catfd_1_CZV_46)/catpn_1_CZB_1+catfd_1_CZV_46/catpn_1_CZV_46),0)</f>
        <v>0</v>
      </c>
      <c r="H20" s="36">
        <f>IF(AND(catpn_1_CZB_1&gt;0,catpn_1_CZV_46&gt;0),(catdw_1_CZB_1*((dagenperjaar1*VLOOKUP(B20,dagsoorttabel1,2,FALSE))-catfd_1_CZV_46)/catpn_1_CZB_1+catdw_1_CZV_46*catfd_1_CZV_46/catpn_1_CZV_46)/(((dagenperjaar1*VLOOKUP(B20,dagsoorttabel1,2,FALSE))-catfd_1_CZV_46)/catpn_1_CZB_1+catfd_1_CZV_46/catpn_1_CZV_46),0)</f>
        <v>0</v>
      </c>
      <c r="I20" s="20" t="s">
        <v>45</v>
      </c>
      <c r="J20" s="37">
        <f>IF(AND(catpn_1_CZB_1&gt;0,catpn_1_CZV_46&gt;0),(cattf_1_CZB_1*((dagenperjaar1*VLOOKUP(B20,dagsoorttabel1,2,FALSE))-catfd_1_CZV_46)/catpn_1_CZB_1+cattf_1_CZV_46*catfd_1_CZV_46/catpn_1_CZV_46)/(((dagenperjaar1*VLOOKUP(B20,dagsoorttabel1,2,FALSE))-catfd_1_CZV_46)/catpn_1_CZB_1+catfd_1_CZV_46/catpn_1_CZV_46),0)</f>
        <v>0</v>
      </c>
      <c r="K20" s="34">
        <f t="shared" si="1"/>
        <v>0</v>
      </c>
      <c r="L20" s="37">
        <f t="shared" si="2"/>
        <v>0</v>
      </c>
      <c r="M20" s="34">
        <f t="shared" si="3"/>
        <v>0</v>
      </c>
      <c r="N20" s="37">
        <f t="shared" si="4"/>
        <v>0</v>
      </c>
    </row>
    <row r="21" spans="1:14" x14ac:dyDescent="0.2">
      <c r="A21" s="20" t="s">
        <v>169</v>
      </c>
      <c r="B21" s="20" t="s">
        <v>17</v>
      </c>
      <c r="C21" s="20" t="s">
        <v>157</v>
      </c>
      <c r="D21" s="20" t="s">
        <v>170</v>
      </c>
      <c r="E21" s="34">
        <v>3.3</v>
      </c>
      <c r="F21" s="34">
        <f t="shared" si="0"/>
        <v>1.4882352941176471</v>
      </c>
      <c r="G21" s="35">
        <f>IF(AND(catpn_1_DHB_1&gt;0,catpn_1_DHV_46&gt;0),(dagenperjaar1*VLOOKUP(B21,dagsoorttabel1,2,FALSE))/(((dagenperjaar1*VLOOKUP(B21,dagsoorttabel1,2,FALSE))-catfd_1_DHV_46)/catpn_1_DHB_1+catfd_1_DHV_46/catpn_1_DHV_46),0)</f>
        <v>0</v>
      </c>
      <c r="H21" s="36">
        <f>IF(AND(catpn_1_DHB_1&gt;0,catpn_1_DHV_46&gt;0),(catdw_1_DHB_1*((dagenperjaar1*VLOOKUP(B21,dagsoorttabel1,2,FALSE))-catfd_1_DHV_46)/catpn_1_DHB_1+catdw_1_DHV_46*catfd_1_DHV_46/catpn_1_DHV_46)/(((dagenperjaar1*VLOOKUP(B21,dagsoorttabel1,2,FALSE))-catfd_1_DHV_46)/catpn_1_DHB_1+catfd_1_DHV_46/catpn_1_DHV_46),0)</f>
        <v>0</v>
      </c>
      <c r="I21" s="20" t="s">
        <v>45</v>
      </c>
      <c r="J21" s="37">
        <f>IF(AND(catpn_1_DHB_1&gt;0,catpn_1_DHV_46&gt;0),(cattf_1_DHB_1*((dagenperjaar1*VLOOKUP(B21,dagsoorttabel1,2,FALSE))-catfd_1_DHV_46)/catpn_1_DHB_1+cattf_1_DHV_46*catfd_1_DHV_46/catpn_1_DHV_46)/(((dagenperjaar1*VLOOKUP(B21,dagsoorttabel1,2,FALSE))-catfd_1_DHV_46)/catpn_1_DHB_1+catfd_1_DHV_46/catpn_1_DHV_46),0)</f>
        <v>0</v>
      </c>
      <c r="K21" s="34">
        <f t="shared" si="1"/>
        <v>0</v>
      </c>
      <c r="L21" s="37">
        <f t="shared" si="2"/>
        <v>0</v>
      </c>
      <c r="M21" s="34">
        <f t="shared" si="3"/>
        <v>0</v>
      </c>
      <c r="N21" s="37">
        <f t="shared" si="4"/>
        <v>0</v>
      </c>
    </row>
    <row r="22" spans="1:14" x14ac:dyDescent="0.2">
      <c r="A22" s="20" t="s">
        <v>169</v>
      </c>
      <c r="B22" s="20" t="s">
        <v>12</v>
      </c>
      <c r="C22" s="20" t="s">
        <v>157</v>
      </c>
      <c r="D22" s="20" t="s">
        <v>170</v>
      </c>
      <c r="E22" s="34">
        <v>147.20000000000002</v>
      </c>
      <c r="F22" s="34">
        <f t="shared" si="0"/>
        <v>132.7686274509804</v>
      </c>
      <c r="G22" s="35">
        <f>IF(AND(catpn_1_DHB_1&gt;0,catpn_1_DHV_46&gt;0),(dagenperjaar1*VLOOKUP(B22,dagsoorttabel1,2,FALSE))/(((dagenperjaar1*VLOOKUP(B22,dagsoorttabel1,2,FALSE))-catfd_1_DHV_46)/catpn_1_DHB_1+catfd_1_DHV_46/catpn_1_DHV_46),0)</f>
        <v>0</v>
      </c>
      <c r="H22" s="36">
        <f>IF(AND(catpn_1_DHB_1&gt;0,catpn_1_DHV_46&gt;0),(catdw_1_DHB_1*((dagenperjaar1*VLOOKUP(B22,dagsoorttabel1,2,FALSE))-catfd_1_DHV_46)/catpn_1_DHB_1+catdw_1_DHV_46*catfd_1_DHV_46/catpn_1_DHV_46)/(((dagenperjaar1*VLOOKUP(B22,dagsoorttabel1,2,FALSE))-catfd_1_DHV_46)/catpn_1_DHB_1+catfd_1_DHV_46/catpn_1_DHV_46),0)</f>
        <v>0</v>
      </c>
      <c r="I22" s="20" t="s">
        <v>45</v>
      </c>
      <c r="J22" s="37">
        <f>IF(AND(catpn_1_DHB_1&gt;0,catpn_1_DHV_46&gt;0),(cattf_1_DHB_1*((dagenperjaar1*VLOOKUP(B22,dagsoorttabel1,2,FALSE))-catfd_1_DHV_46)/catpn_1_DHB_1+cattf_1_DHV_46*catfd_1_DHV_46/catpn_1_DHV_46)/(((dagenperjaar1*VLOOKUP(B22,dagsoorttabel1,2,FALSE))-catfd_1_DHV_46)/catpn_1_DHB_1+catfd_1_DHV_46/catpn_1_DHV_46),0)</f>
        <v>0</v>
      </c>
      <c r="K22" s="34">
        <f t="shared" si="1"/>
        <v>0</v>
      </c>
      <c r="L22" s="37">
        <f t="shared" si="2"/>
        <v>0</v>
      </c>
      <c r="M22" s="34">
        <f t="shared" si="3"/>
        <v>0</v>
      </c>
      <c r="N22" s="37">
        <f t="shared" si="4"/>
        <v>0</v>
      </c>
    </row>
    <row r="23" spans="1:14" x14ac:dyDescent="0.2">
      <c r="A23" s="20" t="s">
        <v>171</v>
      </c>
      <c r="B23" s="20" t="s">
        <v>12</v>
      </c>
      <c r="C23" s="20" t="s">
        <v>157</v>
      </c>
      <c r="D23" s="20" t="s">
        <v>172</v>
      </c>
      <c r="E23" s="34">
        <v>77.86</v>
      </c>
      <c r="F23" s="34">
        <f t="shared" si="0"/>
        <v>70.226666666666674</v>
      </c>
      <c r="G23" s="35">
        <f>IF(AND(catpn_1_EHB_1&gt;0,catpn_1_EHV_46&gt;0),(dagenperjaar1*VLOOKUP(B23,dagsoorttabel1,2,FALSE))/(((dagenperjaar1*VLOOKUP(B23,dagsoorttabel1,2,FALSE))-catfd_1_EHV_46)/catpn_1_EHB_1+catfd_1_EHV_46/catpn_1_EHV_46),0)</f>
        <v>0</v>
      </c>
      <c r="H23" s="36">
        <f>IF(AND(catpn_1_EHB_1&gt;0,catpn_1_EHV_46&gt;0),(catdw_1_EHB_1*((dagenperjaar1*VLOOKUP(B23,dagsoorttabel1,2,FALSE))-catfd_1_EHV_46)/catpn_1_EHB_1+catdw_1_EHV_46*catfd_1_EHV_46/catpn_1_EHV_46)/(((dagenperjaar1*VLOOKUP(B23,dagsoorttabel1,2,FALSE))-catfd_1_EHV_46)/catpn_1_EHB_1+catfd_1_EHV_46/catpn_1_EHV_46),0)</f>
        <v>0</v>
      </c>
      <c r="I23" s="20" t="s">
        <v>45</v>
      </c>
      <c r="J23" s="37">
        <f>IF(AND(catpn_1_EHB_1&gt;0,catpn_1_EHV_46&gt;0),(cattf_1_EHB_1*((dagenperjaar1*VLOOKUP(B23,dagsoorttabel1,2,FALSE))-catfd_1_EHV_46)/catpn_1_EHB_1+cattf_1_EHV_46*catfd_1_EHV_46/catpn_1_EHV_46)/(((dagenperjaar1*VLOOKUP(B23,dagsoorttabel1,2,FALSE))-catfd_1_EHV_46)/catpn_1_EHB_1+catfd_1_EHV_46/catpn_1_EHV_46),0)</f>
        <v>0</v>
      </c>
      <c r="K23" s="34">
        <f t="shared" si="1"/>
        <v>0</v>
      </c>
      <c r="L23" s="37">
        <f t="shared" si="2"/>
        <v>0</v>
      </c>
      <c r="M23" s="34">
        <f t="shared" si="3"/>
        <v>0</v>
      </c>
      <c r="N23" s="37">
        <f t="shared" si="4"/>
        <v>0</v>
      </c>
    </row>
    <row r="24" spans="1:14" x14ac:dyDescent="0.2">
      <c r="A24" s="20" t="s">
        <v>173</v>
      </c>
      <c r="B24" s="20" t="s">
        <v>12</v>
      </c>
      <c r="C24" s="20" t="s">
        <v>157</v>
      </c>
      <c r="D24" s="20" t="s">
        <v>174</v>
      </c>
      <c r="E24" s="34">
        <v>6.9</v>
      </c>
      <c r="F24" s="34">
        <f t="shared" si="0"/>
        <v>6.223529411764706</v>
      </c>
      <c r="G24" s="35">
        <f>IF(AND(catpn_1_EZB_1&gt;0,catpn_1_EZV_46&gt;0),(dagenperjaar1*VLOOKUP(B24,dagsoorttabel1,2,FALSE))/(((dagenperjaar1*VLOOKUP(B24,dagsoorttabel1,2,FALSE))-catfd_1_EZV_46)/catpn_1_EZB_1+catfd_1_EZV_46/catpn_1_EZV_46),0)</f>
        <v>0</v>
      </c>
      <c r="H24" s="36">
        <f>IF(AND(catpn_1_EZB_1&gt;0,catpn_1_EZV_46&gt;0),(catdw_1_EZB_1*((dagenperjaar1*VLOOKUP(B24,dagsoorttabel1,2,FALSE))-catfd_1_EZV_46)/catpn_1_EZB_1+catdw_1_EZV_46*catfd_1_EZV_46/catpn_1_EZV_46)/(((dagenperjaar1*VLOOKUP(B24,dagsoorttabel1,2,FALSE))-catfd_1_EZV_46)/catpn_1_EZB_1+catfd_1_EZV_46/catpn_1_EZV_46),0)</f>
        <v>0</v>
      </c>
      <c r="I24" s="20" t="s">
        <v>45</v>
      </c>
      <c r="J24" s="37">
        <f>IF(AND(catpn_1_EZB_1&gt;0,catpn_1_EZV_46&gt;0),(cattf_1_EZB_1*((dagenperjaar1*VLOOKUP(B24,dagsoorttabel1,2,FALSE))-catfd_1_EZV_46)/catpn_1_EZB_1+cattf_1_EZV_46*catfd_1_EZV_46/catpn_1_EZV_46)/(((dagenperjaar1*VLOOKUP(B24,dagsoorttabel1,2,FALSE))-catfd_1_EZV_46)/catpn_1_EZB_1+catfd_1_EZV_46/catpn_1_EZV_46),0)</f>
        <v>0</v>
      </c>
      <c r="K24" s="34">
        <f t="shared" si="1"/>
        <v>0</v>
      </c>
      <c r="L24" s="37">
        <f t="shared" si="2"/>
        <v>0</v>
      </c>
      <c r="M24" s="34">
        <f t="shared" si="3"/>
        <v>0</v>
      </c>
      <c r="N24" s="37">
        <f t="shared" si="4"/>
        <v>0</v>
      </c>
    </row>
    <row r="25" spans="1:14" x14ac:dyDescent="0.2">
      <c r="A25" s="20" t="s">
        <v>175</v>
      </c>
      <c r="B25" s="20" t="s">
        <v>22</v>
      </c>
      <c r="C25" s="20" t="s">
        <v>157</v>
      </c>
      <c r="D25" s="20" t="s">
        <v>176</v>
      </c>
      <c r="E25" s="34">
        <v>40.5</v>
      </c>
      <c r="F25" s="34">
        <f t="shared" si="0"/>
        <v>8.1</v>
      </c>
      <c r="G25" s="35">
        <f>IF(AND(catpn_1_FHB_1&gt;0,catpn_1_FHV_51&gt;0),(dagenperjaar1*VLOOKUP(B25,dagsoorttabel1,2,FALSE))/(((dagenperjaar1*VLOOKUP(B25,dagsoorttabel1,2,FALSE))-catfd_1_FHV_51)/catpn_1_FHB_1+catfd_1_FHV_51/catpn_1_FHV_51),0)</f>
        <v>0</v>
      </c>
      <c r="H25" s="36">
        <f>IF(AND(catpn_1_FHB_1&gt;0,catpn_1_FHV_51&gt;0),(catdw_1_FHB_1*((dagenperjaar1*VLOOKUP(B25,dagsoorttabel1,2,FALSE))-catfd_1_FHV_51)/catpn_1_FHB_1+catdw_1_FHV_51*catfd_1_FHV_51/catpn_1_FHV_51)/(((dagenperjaar1*VLOOKUP(B25,dagsoorttabel1,2,FALSE))-catfd_1_FHV_51)/catpn_1_FHB_1+catfd_1_FHV_51/catpn_1_FHV_51),0)</f>
        <v>0</v>
      </c>
      <c r="I25" s="20" t="s">
        <v>45</v>
      </c>
      <c r="J25" s="37">
        <f>IF(AND(catpn_1_FHB_1&gt;0,catpn_1_FHV_51&gt;0),(cattf_1_FHB_1*((dagenperjaar1*VLOOKUP(B25,dagsoorttabel1,2,FALSE))-catfd_1_FHV_51)/catpn_1_FHB_1+cattf_1_FHV_51*catfd_1_FHV_51/catpn_1_FHV_51)/(((dagenperjaar1*VLOOKUP(B25,dagsoorttabel1,2,FALSE))-catfd_1_FHV_51)/catpn_1_FHB_1+catfd_1_FHV_51/catpn_1_FHV_51),0)</f>
        <v>0</v>
      </c>
      <c r="K25" s="34">
        <f t="shared" si="1"/>
        <v>0</v>
      </c>
      <c r="L25" s="37">
        <f t="shared" si="2"/>
        <v>0</v>
      </c>
      <c r="M25" s="34">
        <f t="shared" si="3"/>
        <v>0</v>
      </c>
      <c r="N25" s="37">
        <f t="shared" si="4"/>
        <v>0</v>
      </c>
    </row>
    <row r="26" spans="1:14" x14ac:dyDescent="0.2">
      <c r="A26" s="20" t="s">
        <v>177</v>
      </c>
      <c r="B26" s="20" t="s">
        <v>12</v>
      </c>
      <c r="C26" s="20" t="s">
        <v>157</v>
      </c>
      <c r="D26" s="20" t="s">
        <v>178</v>
      </c>
      <c r="E26" s="34">
        <v>128.80000000000001</v>
      </c>
      <c r="F26" s="34">
        <f t="shared" si="0"/>
        <v>116.17254901960786</v>
      </c>
      <c r="G26" s="35">
        <f>IF(AND(catpn_1_GHB_1&gt;0,catpn_1_GHV_46&gt;0),(dagenperjaar1*VLOOKUP(B26,dagsoorttabel1,2,FALSE))/(((dagenperjaar1*VLOOKUP(B26,dagsoorttabel1,2,FALSE))-catfd_1_GHV_46)/catpn_1_GHB_1+catfd_1_GHV_46/catpn_1_GHV_46),0)</f>
        <v>0</v>
      </c>
      <c r="H26" s="36">
        <f>IF(AND(catpn_1_GHB_1&gt;0,catpn_1_GHV_46&gt;0),(catdw_1_GHB_1*((dagenperjaar1*VLOOKUP(B26,dagsoorttabel1,2,FALSE))-catfd_1_GHV_46)/catpn_1_GHB_1+catdw_1_GHV_46*catfd_1_GHV_46/catpn_1_GHV_46)/(((dagenperjaar1*VLOOKUP(B26,dagsoorttabel1,2,FALSE))-catfd_1_GHV_46)/catpn_1_GHB_1+catfd_1_GHV_46/catpn_1_GHV_46),0)</f>
        <v>0</v>
      </c>
      <c r="I26" s="20" t="s">
        <v>45</v>
      </c>
      <c r="J26" s="37">
        <f>IF(AND(catpn_1_GHB_1&gt;0,catpn_1_GHV_46&gt;0),(cattf_1_GHB_1*((dagenperjaar1*VLOOKUP(B26,dagsoorttabel1,2,FALSE))-catfd_1_GHV_46)/catpn_1_GHB_1+cattf_1_GHV_46*catfd_1_GHV_46/catpn_1_GHV_46)/(((dagenperjaar1*VLOOKUP(B26,dagsoorttabel1,2,FALSE))-catfd_1_GHV_46)/catpn_1_GHB_1+catfd_1_GHV_46/catpn_1_GHV_46),0)</f>
        <v>0</v>
      </c>
      <c r="K26" s="34">
        <f t="shared" si="1"/>
        <v>0</v>
      </c>
      <c r="L26" s="37">
        <f t="shared" si="2"/>
        <v>0</v>
      </c>
      <c r="M26" s="34">
        <f t="shared" si="3"/>
        <v>0</v>
      </c>
      <c r="N26" s="37">
        <f t="shared" si="4"/>
        <v>0</v>
      </c>
    </row>
    <row r="27" spans="1:14" x14ac:dyDescent="0.2">
      <c r="A27" s="20" t="s">
        <v>179</v>
      </c>
      <c r="B27" s="20" t="s">
        <v>12</v>
      </c>
      <c r="C27" s="20" t="s">
        <v>157</v>
      </c>
      <c r="D27" s="20" t="s">
        <v>180</v>
      </c>
      <c r="E27" s="34">
        <v>82.1</v>
      </c>
      <c r="F27" s="34">
        <f t="shared" si="0"/>
        <v>74.050980392156859</v>
      </c>
      <c r="G27" s="35">
        <f>IF(AND(catpn_1_HHB_1&gt;0,catpn_1_HHV_46&gt;0),(dagenperjaar1*VLOOKUP(B27,dagsoorttabel1,2,FALSE))/(((dagenperjaar1*VLOOKUP(B27,dagsoorttabel1,2,FALSE))-catfd_1_HHV_46)/catpn_1_HHB_1+catfd_1_HHV_46/catpn_1_HHV_46),0)</f>
        <v>0</v>
      </c>
      <c r="H27" s="36">
        <f>IF(AND(catpn_1_HHB_1&gt;0,catpn_1_HHV_46&gt;0),(catdw_1_HHB_1*((dagenperjaar1*VLOOKUP(B27,dagsoorttabel1,2,FALSE))-catfd_1_HHV_46)/catpn_1_HHB_1+catdw_1_HHV_46*catfd_1_HHV_46/catpn_1_HHV_46)/(((dagenperjaar1*VLOOKUP(B27,dagsoorttabel1,2,FALSE))-catfd_1_HHV_46)/catpn_1_HHB_1+catfd_1_HHV_46/catpn_1_HHV_46),0)</f>
        <v>0</v>
      </c>
      <c r="I27" s="20" t="s">
        <v>45</v>
      </c>
      <c r="J27" s="37">
        <f>IF(AND(catpn_1_HHB_1&gt;0,catpn_1_HHV_46&gt;0),(cattf_1_HHB_1*((dagenperjaar1*VLOOKUP(B27,dagsoorttabel1,2,FALSE))-catfd_1_HHV_46)/catpn_1_HHB_1+cattf_1_HHV_46*catfd_1_HHV_46/catpn_1_HHV_46)/(((dagenperjaar1*VLOOKUP(B27,dagsoorttabel1,2,FALSE))-catfd_1_HHV_46)/catpn_1_HHB_1+catfd_1_HHV_46/catpn_1_HHV_46),0)</f>
        <v>0</v>
      </c>
      <c r="K27" s="34">
        <f t="shared" si="1"/>
        <v>0</v>
      </c>
      <c r="L27" s="37">
        <f t="shared" si="2"/>
        <v>0</v>
      </c>
      <c r="M27" s="34">
        <f t="shared" si="3"/>
        <v>0</v>
      </c>
      <c r="N27" s="37">
        <f t="shared" si="4"/>
        <v>0</v>
      </c>
    </row>
    <row r="28" spans="1:14" x14ac:dyDescent="0.2">
      <c r="A28" s="20" t="s">
        <v>181</v>
      </c>
      <c r="B28" s="20" t="s">
        <v>17</v>
      </c>
      <c r="C28" s="20" t="s">
        <v>157</v>
      </c>
      <c r="D28" s="20" t="s">
        <v>182</v>
      </c>
      <c r="E28" s="34">
        <v>1311</v>
      </c>
      <c r="F28" s="34">
        <f t="shared" si="0"/>
        <v>591.23529411764707</v>
      </c>
      <c r="G28" s="35">
        <f>IF(AND(catpn_1_IHB_1&gt;0,catpn_1_IHV_46&gt;0),(dagenperjaar1*VLOOKUP(B28,dagsoorttabel1,2,FALSE))/(((dagenperjaar1*VLOOKUP(B28,dagsoorttabel1,2,FALSE))-catfd_1_IHV_46)/catpn_1_IHB_1+catfd_1_IHV_46/catpn_1_IHV_46),0)</f>
        <v>0</v>
      </c>
      <c r="H28" s="36">
        <f>IF(AND(catpn_1_IHB_1&gt;0,catpn_1_IHV_46&gt;0),(catdw_1_IHB_1*((dagenperjaar1*VLOOKUP(B28,dagsoorttabel1,2,FALSE))-catfd_1_IHV_46)/catpn_1_IHB_1+catdw_1_IHV_46*catfd_1_IHV_46/catpn_1_IHV_46)/(((dagenperjaar1*VLOOKUP(B28,dagsoorttabel1,2,FALSE))-catfd_1_IHV_46)/catpn_1_IHB_1+catfd_1_IHV_46/catpn_1_IHV_46),0)</f>
        <v>0</v>
      </c>
      <c r="I28" s="20" t="s">
        <v>45</v>
      </c>
      <c r="J28" s="37">
        <f>IF(AND(catpn_1_IHB_1&gt;0,catpn_1_IHV_46&gt;0),(cattf_1_IHB_1*((dagenperjaar1*VLOOKUP(B28,dagsoorttabel1,2,FALSE))-catfd_1_IHV_46)/catpn_1_IHB_1+cattf_1_IHV_46*catfd_1_IHV_46/catpn_1_IHV_46)/(((dagenperjaar1*VLOOKUP(B28,dagsoorttabel1,2,FALSE))-catfd_1_IHV_46)/catpn_1_IHB_1+catfd_1_IHV_46/catpn_1_IHV_46),0)</f>
        <v>0</v>
      </c>
      <c r="K28" s="34">
        <f t="shared" si="1"/>
        <v>0</v>
      </c>
      <c r="L28" s="37">
        <f t="shared" si="2"/>
        <v>0</v>
      </c>
      <c r="M28" s="34">
        <f t="shared" si="3"/>
        <v>0</v>
      </c>
      <c r="N28" s="37">
        <f t="shared" si="4"/>
        <v>0</v>
      </c>
    </row>
    <row r="29" spans="1:14" x14ac:dyDescent="0.2">
      <c r="A29" s="20" t="s">
        <v>181</v>
      </c>
      <c r="B29" s="20" t="s">
        <v>15</v>
      </c>
      <c r="C29" s="20" t="s">
        <v>157</v>
      </c>
      <c r="D29" s="20" t="s">
        <v>182</v>
      </c>
      <c r="E29" s="34">
        <v>112.98000000000002</v>
      </c>
      <c r="F29" s="34">
        <f t="shared" si="0"/>
        <v>61.142117647058832</v>
      </c>
      <c r="G29" s="35">
        <f>IF(AND(catpn_1_IHB_1&gt;0,catpn_1_IHV_46&gt;0),(dagenperjaar1*VLOOKUP(B29,dagsoorttabel1,2,FALSE))/(((dagenperjaar1*VLOOKUP(B29,dagsoorttabel1,2,FALSE))-catfd_1_IHV_46)/catpn_1_IHB_1+catfd_1_IHV_46/catpn_1_IHV_46),0)</f>
        <v>0</v>
      </c>
      <c r="H29" s="36">
        <f>IF(AND(catpn_1_IHB_1&gt;0,catpn_1_IHV_46&gt;0),(catdw_1_IHB_1*((dagenperjaar1*VLOOKUP(B29,dagsoorttabel1,2,FALSE))-catfd_1_IHV_46)/catpn_1_IHB_1+catdw_1_IHV_46*catfd_1_IHV_46/catpn_1_IHV_46)/(((dagenperjaar1*VLOOKUP(B29,dagsoorttabel1,2,FALSE))-catfd_1_IHV_46)/catpn_1_IHB_1+catfd_1_IHV_46/catpn_1_IHV_46),0)</f>
        <v>0</v>
      </c>
      <c r="I29" s="20" t="s">
        <v>45</v>
      </c>
      <c r="J29" s="37">
        <f>IF(AND(catpn_1_IHB_1&gt;0,catpn_1_IHV_46&gt;0),(cattf_1_IHB_1*((dagenperjaar1*VLOOKUP(B29,dagsoorttabel1,2,FALSE))-catfd_1_IHV_46)/catpn_1_IHB_1+cattf_1_IHV_46*catfd_1_IHV_46/catpn_1_IHV_46)/(((dagenperjaar1*VLOOKUP(B29,dagsoorttabel1,2,FALSE))-catfd_1_IHV_46)/catpn_1_IHB_1+catfd_1_IHV_46/catpn_1_IHV_46),0)</f>
        <v>0</v>
      </c>
      <c r="K29" s="34">
        <f t="shared" si="1"/>
        <v>0</v>
      </c>
      <c r="L29" s="37">
        <f t="shared" si="2"/>
        <v>0</v>
      </c>
      <c r="M29" s="34">
        <f t="shared" si="3"/>
        <v>0</v>
      </c>
      <c r="N29" s="37">
        <f t="shared" si="4"/>
        <v>0</v>
      </c>
    </row>
    <row r="30" spans="1:14" x14ac:dyDescent="0.2">
      <c r="A30" s="20" t="s">
        <v>181</v>
      </c>
      <c r="B30" s="20" t="s">
        <v>12</v>
      </c>
      <c r="C30" s="20" t="s">
        <v>157</v>
      </c>
      <c r="D30" s="20" t="s">
        <v>182</v>
      </c>
      <c r="E30" s="34">
        <v>83.6</v>
      </c>
      <c r="F30" s="34">
        <f t="shared" si="0"/>
        <v>75.403921568627453</v>
      </c>
      <c r="G30" s="35">
        <f>IF(AND(catpn_1_IHB_1&gt;0,catpn_1_IHV_46&gt;0),(dagenperjaar1*VLOOKUP(B30,dagsoorttabel1,2,FALSE))/(((dagenperjaar1*VLOOKUP(B30,dagsoorttabel1,2,FALSE))-catfd_1_IHV_46)/catpn_1_IHB_1+catfd_1_IHV_46/catpn_1_IHV_46),0)</f>
        <v>0</v>
      </c>
      <c r="H30" s="36">
        <f>IF(AND(catpn_1_IHB_1&gt;0,catpn_1_IHV_46&gt;0),(catdw_1_IHB_1*((dagenperjaar1*VLOOKUP(B30,dagsoorttabel1,2,FALSE))-catfd_1_IHV_46)/catpn_1_IHB_1+catdw_1_IHV_46*catfd_1_IHV_46/catpn_1_IHV_46)/(((dagenperjaar1*VLOOKUP(B30,dagsoorttabel1,2,FALSE))-catfd_1_IHV_46)/catpn_1_IHB_1+catfd_1_IHV_46/catpn_1_IHV_46),0)</f>
        <v>0</v>
      </c>
      <c r="I30" s="20" t="s">
        <v>45</v>
      </c>
      <c r="J30" s="37">
        <f>IF(AND(catpn_1_IHB_1&gt;0,catpn_1_IHV_46&gt;0),(cattf_1_IHB_1*((dagenperjaar1*VLOOKUP(B30,dagsoorttabel1,2,FALSE))-catfd_1_IHV_46)/catpn_1_IHB_1+cattf_1_IHV_46*catfd_1_IHV_46/catpn_1_IHV_46)/(((dagenperjaar1*VLOOKUP(B30,dagsoorttabel1,2,FALSE))-catfd_1_IHV_46)/catpn_1_IHB_1+catfd_1_IHV_46/catpn_1_IHV_46),0)</f>
        <v>0</v>
      </c>
      <c r="K30" s="34">
        <f t="shared" si="1"/>
        <v>0</v>
      </c>
      <c r="L30" s="37">
        <f t="shared" si="2"/>
        <v>0</v>
      </c>
      <c r="M30" s="34">
        <f t="shared" si="3"/>
        <v>0</v>
      </c>
      <c r="N30" s="37">
        <f t="shared" si="4"/>
        <v>0</v>
      </c>
    </row>
    <row r="31" spans="1:14" x14ac:dyDescent="0.2">
      <c r="A31" s="20" t="s">
        <v>181</v>
      </c>
      <c r="B31" s="20" t="s">
        <v>11</v>
      </c>
      <c r="C31" s="20" t="s">
        <v>157</v>
      </c>
      <c r="D31" s="20" t="s">
        <v>182</v>
      </c>
      <c r="E31" s="34">
        <v>119.8</v>
      </c>
      <c r="F31" s="34">
        <f t="shared" si="0"/>
        <v>119.8</v>
      </c>
      <c r="G31" s="35">
        <f>IF(AND(catpn_1_IHB_1&gt;0,catpn_1_IHV_51&gt;0),(dagenperjaar1*VLOOKUP(B31,dagsoorttabel1,2,FALSE))/(((dagenperjaar1*VLOOKUP(B31,dagsoorttabel1,2,FALSE))-catfd_1_IHV_51)/catpn_1_IHB_1+catfd_1_IHV_51/catpn_1_IHV_51),0)</f>
        <v>0</v>
      </c>
      <c r="H31" s="36">
        <f>IF(AND(catpn_1_IHB_1&gt;0,catpn_1_IHV_51&gt;0),(catdw_1_IHB_1*((dagenperjaar1*VLOOKUP(B31,dagsoorttabel1,2,FALSE))-catfd_1_IHV_51)/catpn_1_IHB_1+catdw_1_IHV_51*catfd_1_IHV_51/catpn_1_IHV_51)/(((dagenperjaar1*VLOOKUP(B31,dagsoorttabel1,2,FALSE))-catfd_1_IHV_51)/catpn_1_IHB_1+catfd_1_IHV_51/catpn_1_IHV_51),0)</f>
        <v>0</v>
      </c>
      <c r="I31" s="20" t="s">
        <v>45</v>
      </c>
      <c r="J31" s="37">
        <f>IF(AND(catpn_1_IHB_1&gt;0,catpn_1_IHV_51&gt;0),(cattf_1_IHB_1*((dagenperjaar1*VLOOKUP(B31,dagsoorttabel1,2,FALSE))-catfd_1_IHV_51)/catpn_1_IHB_1+cattf_1_IHV_51*catfd_1_IHV_51/catpn_1_IHV_51)/(((dagenperjaar1*VLOOKUP(B31,dagsoorttabel1,2,FALSE))-catfd_1_IHV_51)/catpn_1_IHB_1+catfd_1_IHV_51/catpn_1_IHV_51),0)</f>
        <v>0</v>
      </c>
      <c r="K31" s="34">
        <f t="shared" si="1"/>
        <v>0</v>
      </c>
      <c r="L31" s="37">
        <f t="shared" si="2"/>
        <v>0</v>
      </c>
      <c r="M31" s="34">
        <f t="shared" si="3"/>
        <v>0</v>
      </c>
      <c r="N31" s="37">
        <f t="shared" si="4"/>
        <v>0</v>
      </c>
    </row>
    <row r="32" spans="1:14" x14ac:dyDescent="0.2">
      <c r="A32" s="20" t="s">
        <v>181</v>
      </c>
      <c r="B32" s="20" t="s">
        <v>23</v>
      </c>
      <c r="C32" s="20" t="s">
        <v>157</v>
      </c>
      <c r="D32" s="20" t="s">
        <v>182</v>
      </c>
      <c r="E32" s="34">
        <v>92.100000000000009</v>
      </c>
      <c r="F32" s="34">
        <f t="shared" si="0"/>
        <v>16.614117647058826</v>
      </c>
      <c r="G32" s="35">
        <f>IF(AND(catpn_1_IHB_1&gt;0,catpn_1_IHV_46&gt;0),(dagenperjaar1*VLOOKUP(B32,dagsoorttabel1,2,FALSE))/(((dagenperjaar1*VLOOKUP(B32,dagsoorttabel1,2,FALSE))-catfd_1_IHV_46)/catpn_1_IHB_1+catfd_1_IHV_46/catpn_1_IHV_46),0)</f>
        <v>0</v>
      </c>
      <c r="H32" s="36">
        <f>IF(AND(catpn_1_IHB_1&gt;0,catpn_1_IHV_46&gt;0),(catdw_1_IHB_1*((dagenperjaar1*VLOOKUP(B32,dagsoorttabel1,2,FALSE))-catfd_1_IHV_46)/catpn_1_IHB_1+catdw_1_IHV_46*catfd_1_IHV_46/catpn_1_IHV_46)/(((dagenperjaar1*VLOOKUP(B32,dagsoorttabel1,2,FALSE))-catfd_1_IHV_46)/catpn_1_IHB_1+catfd_1_IHV_46/catpn_1_IHV_46),0)</f>
        <v>0</v>
      </c>
      <c r="I32" s="20" t="s">
        <v>45</v>
      </c>
      <c r="J32" s="37">
        <f>IF(AND(catpn_1_IHB_1&gt;0,catpn_1_IHV_46&gt;0),(cattf_1_IHB_1*((dagenperjaar1*VLOOKUP(B32,dagsoorttabel1,2,FALSE))-catfd_1_IHV_46)/catpn_1_IHB_1+cattf_1_IHV_46*catfd_1_IHV_46/catpn_1_IHV_46)/(((dagenperjaar1*VLOOKUP(B32,dagsoorttabel1,2,FALSE))-catfd_1_IHV_46)/catpn_1_IHB_1+catfd_1_IHV_46/catpn_1_IHV_46),0)</f>
        <v>0</v>
      </c>
      <c r="K32" s="34">
        <f t="shared" si="1"/>
        <v>0</v>
      </c>
      <c r="L32" s="37">
        <f t="shared" si="2"/>
        <v>0</v>
      </c>
      <c r="M32" s="34">
        <f t="shared" si="3"/>
        <v>0</v>
      </c>
      <c r="N32" s="37">
        <f t="shared" si="4"/>
        <v>0</v>
      </c>
    </row>
    <row r="33" spans="1:14" x14ac:dyDescent="0.2">
      <c r="A33" s="20" t="s">
        <v>183</v>
      </c>
      <c r="B33" s="20" t="s">
        <v>12</v>
      </c>
      <c r="C33" s="20" t="s">
        <v>157</v>
      </c>
      <c r="D33" s="20" t="s">
        <v>184</v>
      </c>
      <c r="E33" s="34">
        <v>1272.5299999999997</v>
      </c>
      <c r="F33" s="34">
        <f t="shared" si="0"/>
        <v>1147.7721568627449</v>
      </c>
      <c r="G33" s="35">
        <f>IF(AND(catpn_1_KHB_1&gt;0,catpn_1_KHV_46&gt;0),(dagenperjaar1*VLOOKUP(B33,dagsoorttabel1,2,FALSE))/(((dagenperjaar1*VLOOKUP(B33,dagsoorttabel1,2,FALSE))-catfd_1_KHV_46)/catpn_1_KHB_1+catfd_1_KHV_46/catpn_1_KHV_46),0)</f>
        <v>0</v>
      </c>
      <c r="H33" s="36">
        <f>IF(AND(catpn_1_KHB_1&gt;0,catpn_1_KHV_46&gt;0),(catdw_1_KHB_1*((dagenperjaar1*VLOOKUP(B33,dagsoorttabel1,2,FALSE))-catfd_1_KHV_46)/catpn_1_KHB_1+catdw_1_KHV_46*catfd_1_KHV_46/catpn_1_KHV_46)/(((dagenperjaar1*VLOOKUP(B33,dagsoorttabel1,2,FALSE))-catfd_1_KHV_46)/catpn_1_KHB_1+catfd_1_KHV_46/catpn_1_KHV_46),0)</f>
        <v>0</v>
      </c>
      <c r="I33" s="20" t="s">
        <v>45</v>
      </c>
      <c r="J33" s="37">
        <f>IF(AND(catpn_1_KHB_1&gt;0,catpn_1_KHV_46&gt;0),(cattf_1_KHB_1*((dagenperjaar1*VLOOKUP(B33,dagsoorttabel1,2,FALSE))-catfd_1_KHV_46)/catpn_1_KHB_1+cattf_1_KHV_46*catfd_1_KHV_46/catpn_1_KHV_46)/(((dagenperjaar1*VLOOKUP(B33,dagsoorttabel1,2,FALSE))-catfd_1_KHV_46)/catpn_1_KHB_1+catfd_1_KHV_46/catpn_1_KHV_46),0)</f>
        <v>0</v>
      </c>
      <c r="K33" s="34">
        <f t="shared" si="1"/>
        <v>0</v>
      </c>
      <c r="L33" s="37">
        <f t="shared" si="2"/>
        <v>0</v>
      </c>
      <c r="M33" s="34">
        <f t="shared" si="3"/>
        <v>0</v>
      </c>
      <c r="N33" s="37">
        <f t="shared" si="4"/>
        <v>0</v>
      </c>
    </row>
    <row r="34" spans="1:14" x14ac:dyDescent="0.2">
      <c r="A34" s="20" t="s">
        <v>185</v>
      </c>
      <c r="B34" s="20" t="s">
        <v>12</v>
      </c>
      <c r="C34" s="20" t="s">
        <v>157</v>
      </c>
      <c r="D34" s="20" t="s">
        <v>186</v>
      </c>
      <c r="E34" s="34">
        <v>157.5</v>
      </c>
      <c r="F34" s="34">
        <f t="shared" si="0"/>
        <v>142.05882352941177</v>
      </c>
      <c r="G34" s="35">
        <f>IF(AND(catpn_1_MHB_1&gt;0,catpn_1_MHV_46&gt;0),(dagenperjaar1*VLOOKUP(B34,dagsoorttabel1,2,FALSE))/(((dagenperjaar1*VLOOKUP(B34,dagsoorttabel1,2,FALSE))-catfd_1_MHV_46)/catpn_1_MHB_1+catfd_1_MHV_46/catpn_1_MHV_46),0)</f>
        <v>0</v>
      </c>
      <c r="H34" s="36">
        <f>IF(AND(catpn_1_MHB_1&gt;0,catpn_1_MHV_46&gt;0),(catdw_1_MHB_1*((dagenperjaar1*VLOOKUP(B34,dagsoorttabel1,2,FALSE))-catfd_1_MHV_46)/catpn_1_MHB_1+catdw_1_MHV_46*catfd_1_MHV_46/catpn_1_MHV_46)/(((dagenperjaar1*VLOOKUP(B34,dagsoorttabel1,2,FALSE))-catfd_1_MHV_46)/catpn_1_MHB_1+catfd_1_MHV_46/catpn_1_MHV_46),0)</f>
        <v>0</v>
      </c>
      <c r="I34" s="20" t="s">
        <v>45</v>
      </c>
      <c r="J34" s="37">
        <f>IF(AND(catpn_1_MHB_1&gt;0,catpn_1_MHV_46&gt;0),(cattf_1_MHB_1*((dagenperjaar1*VLOOKUP(B34,dagsoorttabel1,2,FALSE))-catfd_1_MHV_46)/catpn_1_MHB_1+cattf_1_MHV_46*catfd_1_MHV_46/catpn_1_MHV_46)/(((dagenperjaar1*VLOOKUP(B34,dagsoorttabel1,2,FALSE))-catfd_1_MHV_46)/catpn_1_MHB_1+catfd_1_MHV_46/catpn_1_MHV_46),0)</f>
        <v>0</v>
      </c>
      <c r="K34" s="34">
        <f t="shared" si="1"/>
        <v>0</v>
      </c>
      <c r="L34" s="37">
        <f t="shared" si="2"/>
        <v>0</v>
      </c>
      <c r="M34" s="34">
        <f t="shared" si="3"/>
        <v>0</v>
      </c>
      <c r="N34" s="37">
        <f t="shared" si="4"/>
        <v>0</v>
      </c>
    </row>
    <row r="35" spans="1:14" x14ac:dyDescent="0.2">
      <c r="A35" s="20" t="s">
        <v>187</v>
      </c>
      <c r="B35" s="20" t="s">
        <v>12</v>
      </c>
      <c r="C35" s="20" t="s">
        <v>157</v>
      </c>
      <c r="D35" s="20" t="s">
        <v>188</v>
      </c>
      <c r="E35" s="34">
        <v>115</v>
      </c>
      <c r="F35" s="34">
        <f t="shared" si="0"/>
        <v>103.72549019607844</v>
      </c>
      <c r="G35" s="35">
        <f>IF(AND(catpn_1_OHB_1&gt;0,catpn_1_OHV_46&gt;0),(dagenperjaar1*VLOOKUP(B35,dagsoorttabel1,2,FALSE))/(((dagenperjaar1*VLOOKUP(B35,dagsoorttabel1,2,FALSE))-catfd_1_OHV_46)/catpn_1_OHB_1+catfd_1_OHV_46/catpn_1_OHV_46),0)</f>
        <v>0</v>
      </c>
      <c r="H35" s="36">
        <f>IF(AND(catpn_1_OHB_1&gt;0,catpn_1_OHV_46&gt;0),(catdw_1_OHB_1*((dagenperjaar1*VLOOKUP(B35,dagsoorttabel1,2,FALSE))-catfd_1_OHV_46)/catpn_1_OHB_1+catdw_1_OHV_46*catfd_1_OHV_46/catpn_1_OHV_46)/(((dagenperjaar1*VLOOKUP(B35,dagsoorttabel1,2,FALSE))-catfd_1_OHV_46)/catpn_1_OHB_1+catfd_1_OHV_46/catpn_1_OHV_46),0)</f>
        <v>0</v>
      </c>
      <c r="I35" s="20" t="s">
        <v>45</v>
      </c>
      <c r="J35" s="37">
        <f>IF(AND(catpn_1_OHB_1&gt;0,catpn_1_OHV_46&gt;0),(cattf_1_OHB_1*((dagenperjaar1*VLOOKUP(B35,dagsoorttabel1,2,FALSE))-catfd_1_OHV_46)/catpn_1_OHB_1+cattf_1_OHV_46*catfd_1_OHV_46/catpn_1_OHV_46)/(((dagenperjaar1*VLOOKUP(B35,dagsoorttabel1,2,FALSE))-catfd_1_OHV_46)/catpn_1_OHB_1+catfd_1_OHV_46/catpn_1_OHV_46),0)</f>
        <v>0</v>
      </c>
      <c r="K35" s="34">
        <f t="shared" si="1"/>
        <v>0</v>
      </c>
      <c r="L35" s="37">
        <f t="shared" si="2"/>
        <v>0</v>
      </c>
      <c r="M35" s="34">
        <f t="shared" si="3"/>
        <v>0</v>
      </c>
      <c r="N35" s="37">
        <f t="shared" si="4"/>
        <v>0</v>
      </c>
    </row>
    <row r="36" spans="1:14" x14ac:dyDescent="0.2">
      <c r="A36" s="20" t="s">
        <v>187</v>
      </c>
      <c r="B36" s="20" t="s">
        <v>11</v>
      </c>
      <c r="C36" s="20" t="s">
        <v>157</v>
      </c>
      <c r="D36" s="20" t="s">
        <v>188</v>
      </c>
      <c r="E36" s="34">
        <v>43</v>
      </c>
      <c r="F36" s="34">
        <f t="shared" si="0"/>
        <v>43</v>
      </c>
      <c r="G36" s="35">
        <f>IF(AND(catpn_1_OHB_1&gt;0,catpn_1_OHV_51&gt;0),(dagenperjaar1*VLOOKUP(B36,dagsoorttabel1,2,FALSE))/(((dagenperjaar1*VLOOKUP(B36,dagsoorttabel1,2,FALSE))-catfd_1_OHV_51)/catpn_1_OHB_1+catfd_1_OHV_51/catpn_1_OHV_51),0)</f>
        <v>0</v>
      </c>
      <c r="H36" s="36">
        <f>IF(AND(catpn_1_OHB_1&gt;0,catpn_1_OHV_51&gt;0),(catdw_1_OHB_1*((dagenperjaar1*VLOOKUP(B36,dagsoorttabel1,2,FALSE))-catfd_1_OHV_51)/catpn_1_OHB_1+catdw_1_OHV_51*catfd_1_OHV_51/catpn_1_OHV_51)/(((dagenperjaar1*VLOOKUP(B36,dagsoorttabel1,2,FALSE))-catfd_1_OHV_51)/catpn_1_OHB_1+catfd_1_OHV_51/catpn_1_OHV_51),0)</f>
        <v>0</v>
      </c>
      <c r="I36" s="20" t="s">
        <v>45</v>
      </c>
      <c r="J36" s="37">
        <f>IF(AND(catpn_1_OHB_1&gt;0,catpn_1_OHV_51&gt;0),(cattf_1_OHB_1*((dagenperjaar1*VLOOKUP(B36,dagsoorttabel1,2,FALSE))-catfd_1_OHV_51)/catpn_1_OHB_1+cattf_1_OHV_51*catfd_1_OHV_51/catpn_1_OHV_51)/(((dagenperjaar1*VLOOKUP(B36,dagsoorttabel1,2,FALSE))-catfd_1_OHV_51)/catpn_1_OHB_1+catfd_1_OHV_51/catpn_1_OHV_51),0)</f>
        <v>0</v>
      </c>
      <c r="K36" s="34">
        <f t="shared" si="1"/>
        <v>0</v>
      </c>
      <c r="L36" s="37">
        <f t="shared" si="2"/>
        <v>0</v>
      </c>
      <c r="M36" s="34">
        <f t="shared" si="3"/>
        <v>0</v>
      </c>
      <c r="N36" s="37">
        <f t="shared" si="4"/>
        <v>0</v>
      </c>
    </row>
    <row r="37" spans="1:14" x14ac:dyDescent="0.2">
      <c r="A37" s="20" t="s">
        <v>189</v>
      </c>
      <c r="B37" s="20" t="s">
        <v>11</v>
      </c>
      <c r="C37" s="20" t="s">
        <v>157</v>
      </c>
      <c r="D37" s="20" t="s">
        <v>190</v>
      </c>
      <c r="E37" s="34">
        <v>14.4</v>
      </c>
      <c r="F37" s="34">
        <f t="shared" si="0"/>
        <v>14.4</v>
      </c>
      <c r="G37" s="35">
        <f>IF(AND(catpn_1_OZB_1&gt;0,catpn_1_OZV_51&gt;0),(dagenperjaar1*VLOOKUP(B37,dagsoorttabel1,2,FALSE))/(((dagenperjaar1*VLOOKUP(B37,dagsoorttabel1,2,FALSE))-catfd_1_OZV_51)/catpn_1_OZB_1+catfd_1_OZV_51/catpn_1_OZV_51),0)</f>
        <v>0</v>
      </c>
      <c r="H37" s="36">
        <f>IF(AND(catpn_1_OZB_1&gt;0,catpn_1_OZV_51&gt;0),(catdw_1_OZB_1*((dagenperjaar1*VLOOKUP(B37,dagsoorttabel1,2,FALSE))-catfd_1_OZV_51)/catpn_1_OZB_1+catdw_1_OZV_51*catfd_1_OZV_51/catpn_1_OZV_51)/(((dagenperjaar1*VLOOKUP(B37,dagsoorttabel1,2,FALSE))-catfd_1_OZV_51)/catpn_1_OZB_1+catfd_1_OZV_51/catpn_1_OZV_51),0)</f>
        <v>0</v>
      </c>
      <c r="I37" s="20" t="s">
        <v>45</v>
      </c>
      <c r="J37" s="37">
        <f>IF(AND(catpn_1_OZB_1&gt;0,catpn_1_OZV_51&gt;0),(cattf_1_OZB_1*((dagenperjaar1*VLOOKUP(B37,dagsoorttabel1,2,FALSE))-catfd_1_OZV_51)/catpn_1_OZB_1+cattf_1_OZV_51*catfd_1_OZV_51/catpn_1_OZV_51)/(((dagenperjaar1*VLOOKUP(B37,dagsoorttabel1,2,FALSE))-catfd_1_OZV_51)/catpn_1_OZB_1+catfd_1_OZV_51/catpn_1_OZV_51),0)</f>
        <v>0</v>
      </c>
      <c r="K37" s="34">
        <f t="shared" si="1"/>
        <v>0</v>
      </c>
      <c r="L37" s="37">
        <f t="shared" si="2"/>
        <v>0</v>
      </c>
      <c r="M37" s="34">
        <f t="shared" si="3"/>
        <v>0</v>
      </c>
      <c r="N37" s="37">
        <f t="shared" si="4"/>
        <v>0</v>
      </c>
    </row>
    <row r="38" spans="1:14" x14ac:dyDescent="0.2">
      <c r="A38" s="20" t="s">
        <v>191</v>
      </c>
      <c r="B38" s="20" t="s">
        <v>12</v>
      </c>
      <c r="C38" s="20" t="s">
        <v>157</v>
      </c>
      <c r="D38" s="20" t="s">
        <v>192</v>
      </c>
      <c r="E38" s="34">
        <v>840.59999999999991</v>
      </c>
      <c r="F38" s="34">
        <f t="shared" ref="F38:F69" si="5">E38*VLOOKUP(B38,dagsoorttabel1,2,FALSE)</f>
        <v>758.18823529411759</v>
      </c>
      <c r="G38" s="35">
        <f>IF(AND(catpn_1_PAHB_1&gt;0,catpn_1_PAHV_46&gt;0),(dagenperjaar1*VLOOKUP(B38,dagsoorttabel1,2,FALSE))/(((dagenperjaar1*VLOOKUP(B38,dagsoorttabel1,2,FALSE))-catfd_1_PAHV_46)/catpn_1_PAHB_1+catfd_1_PAHV_46/catpn_1_PAHV_46),0)</f>
        <v>0</v>
      </c>
      <c r="H38" s="36">
        <f>IF(AND(catpn_1_PAHB_1&gt;0,catpn_1_PAHV_46&gt;0),(catdw_1_PAHB_1*((dagenperjaar1*VLOOKUP(B38,dagsoorttabel1,2,FALSE))-catfd_1_PAHV_46)/catpn_1_PAHB_1+catdw_1_PAHV_46*catfd_1_PAHV_46/catpn_1_PAHV_46)/(((dagenperjaar1*VLOOKUP(B38,dagsoorttabel1,2,FALSE))-catfd_1_PAHV_46)/catpn_1_PAHB_1+catfd_1_PAHV_46/catpn_1_PAHV_46),0)</f>
        <v>0</v>
      </c>
      <c r="I38" s="20" t="s">
        <v>45</v>
      </c>
      <c r="J38" s="37">
        <f>IF(AND(catpn_1_PAHB_1&gt;0,catpn_1_PAHV_46&gt;0),(cattf_1_PAHB_1*((dagenperjaar1*VLOOKUP(B38,dagsoorttabel1,2,FALSE))-catfd_1_PAHV_46)/catpn_1_PAHB_1+cattf_1_PAHV_46*catfd_1_PAHV_46/catpn_1_PAHV_46)/(((dagenperjaar1*VLOOKUP(B38,dagsoorttabel1,2,FALSE))-catfd_1_PAHV_46)/catpn_1_PAHB_1+catfd_1_PAHV_46/catpn_1_PAHV_46),0)</f>
        <v>0</v>
      </c>
      <c r="K38" s="34">
        <f t="shared" ref="K38:K63" si="6">IF(OR(ISBLANK(G38),G38=0),0,F38/ROUND(G38,4))</f>
        <v>0</v>
      </c>
      <c r="L38" s="37">
        <f t="shared" ref="L38:L69" si="7">ROUND(J38,2)*K38</f>
        <v>0</v>
      </c>
      <c r="M38" s="34">
        <f t="shared" ref="M38:M69" si="8">K38*dagenperjaar1</f>
        <v>0</v>
      </c>
      <c r="N38" s="37">
        <f t="shared" ref="N38:N69" si="9">M38*ROUND(J38,2)</f>
        <v>0</v>
      </c>
    </row>
    <row r="39" spans="1:14" x14ac:dyDescent="0.2">
      <c r="A39" s="20" t="s">
        <v>191</v>
      </c>
      <c r="B39" s="20" t="s">
        <v>23</v>
      </c>
      <c r="C39" s="20" t="s">
        <v>157</v>
      </c>
      <c r="D39" s="20" t="s">
        <v>192</v>
      </c>
      <c r="E39" s="34">
        <v>113.7</v>
      </c>
      <c r="F39" s="34">
        <f t="shared" si="5"/>
        <v>20.510588235294119</v>
      </c>
      <c r="G39" s="35">
        <f>IF(AND(catpn_1_PAHB_1&gt;0,catpn_1_PAHV_46&gt;0),(dagenperjaar1*VLOOKUP(B39,dagsoorttabel1,2,FALSE))/(((dagenperjaar1*VLOOKUP(B39,dagsoorttabel1,2,FALSE))-catfd_1_PAHV_46)/catpn_1_PAHB_1+catfd_1_PAHV_46/catpn_1_PAHV_46),0)</f>
        <v>0</v>
      </c>
      <c r="H39" s="36">
        <f>IF(AND(catpn_1_PAHB_1&gt;0,catpn_1_PAHV_46&gt;0),(catdw_1_PAHB_1*((dagenperjaar1*VLOOKUP(B39,dagsoorttabel1,2,FALSE))-catfd_1_PAHV_46)/catpn_1_PAHB_1+catdw_1_PAHV_46*catfd_1_PAHV_46/catpn_1_PAHV_46)/(((dagenperjaar1*VLOOKUP(B39,dagsoorttabel1,2,FALSE))-catfd_1_PAHV_46)/catpn_1_PAHB_1+catfd_1_PAHV_46/catpn_1_PAHV_46),0)</f>
        <v>0</v>
      </c>
      <c r="I39" s="20" t="s">
        <v>45</v>
      </c>
      <c r="J39" s="37">
        <f>IF(AND(catpn_1_PAHB_1&gt;0,catpn_1_PAHV_46&gt;0),(cattf_1_PAHB_1*((dagenperjaar1*VLOOKUP(B39,dagsoorttabel1,2,FALSE))-catfd_1_PAHV_46)/catpn_1_PAHB_1+cattf_1_PAHV_46*catfd_1_PAHV_46/catpn_1_PAHV_46)/(((dagenperjaar1*VLOOKUP(B39,dagsoorttabel1,2,FALSE))-catfd_1_PAHV_46)/catpn_1_PAHB_1+catfd_1_PAHV_46/catpn_1_PAHV_46),0)</f>
        <v>0</v>
      </c>
      <c r="K39" s="34">
        <f t="shared" si="6"/>
        <v>0</v>
      </c>
      <c r="L39" s="37">
        <f t="shared" si="7"/>
        <v>0</v>
      </c>
      <c r="M39" s="34">
        <f t="shared" si="8"/>
        <v>0</v>
      </c>
      <c r="N39" s="37">
        <f t="shared" si="9"/>
        <v>0</v>
      </c>
    </row>
    <row r="40" spans="1:14" x14ac:dyDescent="0.2">
      <c r="A40" s="20" t="s">
        <v>193</v>
      </c>
      <c r="B40" s="20" t="s">
        <v>12</v>
      </c>
      <c r="C40" s="20" t="s">
        <v>157</v>
      </c>
      <c r="D40" s="20" t="s">
        <v>194</v>
      </c>
      <c r="E40" s="34">
        <v>61.599999999999994</v>
      </c>
      <c r="F40" s="34">
        <f t="shared" si="5"/>
        <v>55.560784313725485</v>
      </c>
      <c r="G40" s="35">
        <f>IF(AND(catpn_1_PHB_1&gt;0,catpn_1_PHV_46&gt;0),(dagenperjaar1*VLOOKUP(B40,dagsoorttabel1,2,FALSE))/(((dagenperjaar1*VLOOKUP(B40,dagsoorttabel1,2,FALSE))-catfd_1_PHV_46)/catpn_1_PHB_1+catfd_1_PHV_46/catpn_1_PHV_46),0)</f>
        <v>0</v>
      </c>
      <c r="H40" s="36">
        <f>IF(AND(catpn_1_PHB_1&gt;0,catpn_1_PHV_46&gt;0),(catdw_1_PHB_1*((dagenperjaar1*VLOOKUP(B40,dagsoorttabel1,2,FALSE))-catfd_1_PHV_46)/catpn_1_PHB_1+catdw_1_PHV_46*catfd_1_PHV_46/catpn_1_PHV_46)/(((dagenperjaar1*VLOOKUP(B40,dagsoorttabel1,2,FALSE))-catfd_1_PHV_46)/catpn_1_PHB_1+catfd_1_PHV_46/catpn_1_PHV_46),0)</f>
        <v>0</v>
      </c>
      <c r="I40" s="20" t="s">
        <v>45</v>
      </c>
      <c r="J40" s="37">
        <f>IF(AND(catpn_1_PHB_1&gt;0,catpn_1_PHV_46&gt;0),(cattf_1_PHB_1*((dagenperjaar1*VLOOKUP(B40,dagsoorttabel1,2,FALSE))-catfd_1_PHV_46)/catpn_1_PHB_1+cattf_1_PHV_46*catfd_1_PHV_46/catpn_1_PHV_46)/(((dagenperjaar1*VLOOKUP(B40,dagsoorttabel1,2,FALSE))-catfd_1_PHV_46)/catpn_1_PHB_1+catfd_1_PHV_46/catpn_1_PHV_46),0)</f>
        <v>0</v>
      </c>
      <c r="K40" s="34">
        <f t="shared" si="6"/>
        <v>0</v>
      </c>
      <c r="L40" s="37">
        <f t="shared" si="7"/>
        <v>0</v>
      </c>
      <c r="M40" s="34">
        <f t="shared" si="8"/>
        <v>0</v>
      </c>
      <c r="N40" s="37">
        <f t="shared" si="9"/>
        <v>0</v>
      </c>
    </row>
    <row r="41" spans="1:14" x14ac:dyDescent="0.2">
      <c r="A41" s="20" t="s">
        <v>193</v>
      </c>
      <c r="B41" s="20" t="s">
        <v>11</v>
      </c>
      <c r="C41" s="20" t="s">
        <v>157</v>
      </c>
      <c r="D41" s="20" t="s">
        <v>194</v>
      </c>
      <c r="E41" s="34">
        <v>77.900000000000006</v>
      </c>
      <c r="F41" s="34">
        <f t="shared" si="5"/>
        <v>77.900000000000006</v>
      </c>
      <c r="G41" s="35">
        <f>IF(AND(catpn_1_PHB_1&gt;0,catpn_1_PHV_51&gt;0),(dagenperjaar1*VLOOKUP(B41,dagsoorttabel1,2,FALSE))/(((dagenperjaar1*VLOOKUP(B41,dagsoorttabel1,2,FALSE))-catfd_1_PHV_51)/catpn_1_PHB_1+catfd_1_PHV_51/catpn_1_PHV_51),0)</f>
        <v>0</v>
      </c>
      <c r="H41" s="36">
        <f>IF(AND(catpn_1_PHB_1&gt;0,catpn_1_PHV_51&gt;0),(catdw_1_PHB_1*((dagenperjaar1*VLOOKUP(B41,dagsoorttabel1,2,FALSE))-catfd_1_PHV_51)/catpn_1_PHB_1+catdw_1_PHV_51*catfd_1_PHV_51/catpn_1_PHV_51)/(((dagenperjaar1*VLOOKUP(B41,dagsoorttabel1,2,FALSE))-catfd_1_PHV_51)/catpn_1_PHB_1+catfd_1_PHV_51/catpn_1_PHV_51),0)</f>
        <v>0</v>
      </c>
      <c r="I41" s="20" t="s">
        <v>45</v>
      </c>
      <c r="J41" s="37">
        <f>IF(AND(catpn_1_PHB_1&gt;0,catpn_1_PHV_51&gt;0),(cattf_1_PHB_1*((dagenperjaar1*VLOOKUP(B41,dagsoorttabel1,2,FALSE))-catfd_1_PHV_51)/catpn_1_PHB_1+cattf_1_PHV_51*catfd_1_PHV_51/catpn_1_PHV_51)/(((dagenperjaar1*VLOOKUP(B41,dagsoorttabel1,2,FALSE))-catfd_1_PHV_51)/catpn_1_PHB_1+catfd_1_PHV_51/catpn_1_PHV_51),0)</f>
        <v>0</v>
      </c>
      <c r="K41" s="34">
        <f t="shared" si="6"/>
        <v>0</v>
      </c>
      <c r="L41" s="37">
        <f t="shared" si="7"/>
        <v>0</v>
      </c>
      <c r="M41" s="34">
        <f t="shared" si="8"/>
        <v>0</v>
      </c>
      <c r="N41" s="37">
        <f t="shared" si="9"/>
        <v>0</v>
      </c>
    </row>
    <row r="42" spans="1:14" x14ac:dyDescent="0.2">
      <c r="A42" s="20" t="s">
        <v>195</v>
      </c>
      <c r="B42" s="20" t="s">
        <v>12</v>
      </c>
      <c r="C42" s="20" t="s">
        <v>157</v>
      </c>
      <c r="D42" s="20" t="s">
        <v>196</v>
      </c>
      <c r="E42" s="34">
        <v>137.9</v>
      </c>
      <c r="F42" s="34">
        <f t="shared" si="5"/>
        <v>124.38039215686275</v>
      </c>
      <c r="G42" s="35">
        <f>IF(AND(catpn_1_RHB_1&gt;0,catpn_1_RHV_46&gt;0),(dagenperjaar1*VLOOKUP(B42,dagsoorttabel1,2,FALSE))/(((dagenperjaar1*VLOOKUP(B42,dagsoorttabel1,2,FALSE))-catfd_1_RHV_46)/catpn_1_RHB_1+catfd_1_RHV_46/catpn_1_RHV_46),0)</f>
        <v>0</v>
      </c>
      <c r="H42" s="36">
        <f>IF(AND(catpn_1_RHB_1&gt;0,catpn_1_RHV_46&gt;0),(catdw_1_RHB_1*((dagenperjaar1*VLOOKUP(B42,dagsoorttabel1,2,FALSE))-catfd_1_RHV_46)/catpn_1_RHB_1+catdw_1_RHV_46*catfd_1_RHV_46/catpn_1_RHV_46)/(((dagenperjaar1*VLOOKUP(B42,dagsoorttabel1,2,FALSE))-catfd_1_RHV_46)/catpn_1_RHB_1+catfd_1_RHV_46/catpn_1_RHV_46),0)</f>
        <v>0</v>
      </c>
      <c r="I42" s="20" t="s">
        <v>45</v>
      </c>
      <c r="J42" s="37">
        <f>IF(AND(catpn_1_RHB_1&gt;0,catpn_1_RHV_46&gt;0),(cattf_1_RHB_1*((dagenperjaar1*VLOOKUP(B42,dagsoorttabel1,2,FALSE))-catfd_1_RHV_46)/catpn_1_RHB_1+cattf_1_RHV_46*catfd_1_RHV_46/catpn_1_RHV_46)/(((dagenperjaar1*VLOOKUP(B42,dagsoorttabel1,2,FALSE))-catfd_1_RHV_46)/catpn_1_RHB_1+catfd_1_RHV_46/catpn_1_RHV_46),0)</f>
        <v>0</v>
      </c>
      <c r="K42" s="34">
        <f t="shared" si="6"/>
        <v>0</v>
      </c>
      <c r="L42" s="37">
        <f t="shared" si="7"/>
        <v>0</v>
      </c>
      <c r="M42" s="34">
        <f t="shared" si="8"/>
        <v>0</v>
      </c>
      <c r="N42" s="37">
        <f t="shared" si="9"/>
        <v>0</v>
      </c>
    </row>
    <row r="43" spans="1:14" x14ac:dyDescent="0.2">
      <c r="A43" s="20" t="s">
        <v>197</v>
      </c>
      <c r="B43" s="20" t="s">
        <v>12</v>
      </c>
      <c r="C43" s="20" t="s">
        <v>157</v>
      </c>
      <c r="D43" s="20" t="s">
        <v>198</v>
      </c>
      <c r="E43" s="34">
        <v>141.9</v>
      </c>
      <c r="F43" s="34">
        <f t="shared" si="5"/>
        <v>127.98823529411766</v>
      </c>
      <c r="G43" s="35">
        <f>IF(AND(catpn_1_RRHB_1&gt;0,catpn_1_RRHV_46&gt;0),(dagenperjaar1*VLOOKUP(B43,dagsoorttabel1,2,FALSE))/(((dagenperjaar1*VLOOKUP(B43,dagsoorttabel1,2,FALSE))-catfd_1_RRHV_46)/catpn_1_RRHB_1+catfd_1_RRHV_46/catpn_1_RRHV_46),0)</f>
        <v>0</v>
      </c>
      <c r="H43" s="36">
        <f>IF(AND(catpn_1_RRHB_1&gt;0,catpn_1_RRHV_46&gt;0),(catdw_1_RRHB_1*((dagenperjaar1*VLOOKUP(B43,dagsoorttabel1,2,FALSE))-catfd_1_RRHV_46)/catpn_1_RRHB_1+catdw_1_RRHV_46*catfd_1_RRHV_46/catpn_1_RRHV_46)/(((dagenperjaar1*VLOOKUP(B43,dagsoorttabel1,2,FALSE))-catfd_1_RRHV_46)/catpn_1_RRHB_1+catfd_1_RRHV_46/catpn_1_RRHV_46),0)</f>
        <v>0</v>
      </c>
      <c r="I43" s="20" t="s">
        <v>45</v>
      </c>
      <c r="J43" s="37">
        <f>IF(AND(catpn_1_RRHB_1&gt;0,catpn_1_RRHV_46&gt;0),(cattf_1_RRHB_1*((dagenperjaar1*VLOOKUP(B43,dagsoorttabel1,2,FALSE))-catfd_1_RRHV_46)/catpn_1_RRHB_1+cattf_1_RRHV_46*catfd_1_RRHV_46/catpn_1_RRHV_46)/(((dagenperjaar1*VLOOKUP(B43,dagsoorttabel1,2,FALSE))-catfd_1_RRHV_46)/catpn_1_RRHB_1+catfd_1_RRHV_46/catpn_1_RRHV_46),0)</f>
        <v>0</v>
      </c>
      <c r="K43" s="34">
        <f t="shared" si="6"/>
        <v>0</v>
      </c>
      <c r="L43" s="37">
        <f t="shared" si="7"/>
        <v>0</v>
      </c>
      <c r="M43" s="34">
        <f t="shared" si="8"/>
        <v>0</v>
      </c>
      <c r="N43" s="37">
        <f t="shared" si="9"/>
        <v>0</v>
      </c>
    </row>
    <row r="44" spans="1:14" x14ac:dyDescent="0.2">
      <c r="A44" s="20" t="s">
        <v>199</v>
      </c>
      <c r="B44" s="20" t="s">
        <v>12</v>
      </c>
      <c r="C44" s="20" t="s">
        <v>157</v>
      </c>
      <c r="D44" s="20" t="s">
        <v>200</v>
      </c>
      <c r="E44" s="34">
        <v>90.7</v>
      </c>
      <c r="F44" s="34">
        <f t="shared" si="5"/>
        <v>81.807843137254906</v>
      </c>
      <c r="G44" s="35">
        <f>IF(AND(catpn_1_RRZB_1&gt;0,catpn_1_RRZV_46&gt;0),(dagenperjaar1*VLOOKUP(B44,dagsoorttabel1,2,FALSE))/(((dagenperjaar1*VLOOKUP(B44,dagsoorttabel1,2,FALSE))-catfd_1_RRZV_46)/catpn_1_RRZB_1+catfd_1_RRZV_46/catpn_1_RRZV_46),0)</f>
        <v>0</v>
      </c>
      <c r="H44" s="36">
        <f>IF(AND(catpn_1_RRZB_1&gt;0,catpn_1_RRZV_46&gt;0),(catdw_1_RRZB_1*((dagenperjaar1*VLOOKUP(B44,dagsoorttabel1,2,FALSE))-catfd_1_RRZV_46)/catpn_1_RRZB_1+catdw_1_RRZV_46*catfd_1_RRZV_46/catpn_1_RRZV_46)/(((dagenperjaar1*VLOOKUP(B44,dagsoorttabel1,2,FALSE))-catfd_1_RRZV_46)/catpn_1_RRZB_1+catfd_1_RRZV_46/catpn_1_RRZV_46),0)</f>
        <v>0</v>
      </c>
      <c r="I44" s="20" t="s">
        <v>45</v>
      </c>
      <c r="J44" s="37">
        <f>IF(AND(catpn_1_RRZB_1&gt;0,catpn_1_RRZV_46&gt;0),(cattf_1_RRZB_1*((dagenperjaar1*VLOOKUP(B44,dagsoorttabel1,2,FALSE))-catfd_1_RRZV_46)/catpn_1_RRZB_1+cattf_1_RRZV_46*catfd_1_RRZV_46/catpn_1_RRZV_46)/(((dagenperjaar1*VLOOKUP(B44,dagsoorttabel1,2,FALSE))-catfd_1_RRZV_46)/catpn_1_RRZB_1+catfd_1_RRZV_46/catpn_1_RRZV_46),0)</f>
        <v>0</v>
      </c>
      <c r="K44" s="34">
        <f t="shared" si="6"/>
        <v>0</v>
      </c>
      <c r="L44" s="37">
        <f t="shared" si="7"/>
        <v>0</v>
      </c>
      <c r="M44" s="34">
        <f t="shared" si="8"/>
        <v>0</v>
      </c>
      <c r="N44" s="37">
        <f t="shared" si="9"/>
        <v>0</v>
      </c>
    </row>
    <row r="45" spans="1:14" x14ac:dyDescent="0.2">
      <c r="A45" s="20" t="s">
        <v>201</v>
      </c>
      <c r="B45" s="20" t="s">
        <v>12</v>
      </c>
      <c r="C45" s="20" t="s">
        <v>157</v>
      </c>
      <c r="D45" s="20" t="s">
        <v>202</v>
      </c>
      <c r="E45" s="34">
        <v>252.7</v>
      </c>
      <c r="F45" s="34">
        <f t="shared" si="5"/>
        <v>227.92549019607841</v>
      </c>
      <c r="G45" s="35">
        <f>IF(AND(catpn_1_SHB_1&gt;0,catpn_1_SHV_46&gt;0),(dagenperjaar1*VLOOKUP(B45,dagsoorttabel1,2,FALSE))/(((dagenperjaar1*VLOOKUP(B45,dagsoorttabel1,2,FALSE))-catfd_1_SHV_46)/catpn_1_SHB_1+catfd_1_SHV_46/catpn_1_SHV_46),0)</f>
        <v>0</v>
      </c>
      <c r="H45" s="36">
        <f>IF(AND(catpn_1_SHB_1&gt;0,catpn_1_SHV_46&gt;0),(catdw_1_SHB_1*((dagenperjaar1*VLOOKUP(B45,dagsoorttabel1,2,FALSE))-catfd_1_SHV_46)/catpn_1_SHB_1+catdw_1_SHV_46*catfd_1_SHV_46/catpn_1_SHV_46)/(((dagenperjaar1*VLOOKUP(B45,dagsoorttabel1,2,FALSE))-catfd_1_SHV_46)/catpn_1_SHB_1+catfd_1_SHV_46/catpn_1_SHV_46),0)</f>
        <v>0</v>
      </c>
      <c r="I45" s="20" t="s">
        <v>45</v>
      </c>
      <c r="J45" s="37">
        <f>IF(AND(catpn_1_SHB_1&gt;0,catpn_1_SHV_46&gt;0),(cattf_1_SHB_1*((dagenperjaar1*VLOOKUP(B45,dagsoorttabel1,2,FALSE))-catfd_1_SHV_46)/catpn_1_SHB_1+cattf_1_SHV_46*catfd_1_SHV_46/catpn_1_SHV_46)/(((dagenperjaar1*VLOOKUP(B45,dagsoorttabel1,2,FALSE))-catfd_1_SHV_46)/catpn_1_SHB_1+catfd_1_SHV_46/catpn_1_SHV_46),0)</f>
        <v>0</v>
      </c>
      <c r="K45" s="34">
        <f t="shared" si="6"/>
        <v>0</v>
      </c>
      <c r="L45" s="37">
        <f t="shared" si="7"/>
        <v>0</v>
      </c>
      <c r="M45" s="34">
        <f t="shared" si="8"/>
        <v>0</v>
      </c>
      <c r="N45" s="37">
        <f t="shared" si="9"/>
        <v>0</v>
      </c>
    </row>
    <row r="46" spans="1:14" x14ac:dyDescent="0.2">
      <c r="A46" s="20" t="s">
        <v>201</v>
      </c>
      <c r="B46" s="20" t="s">
        <v>11</v>
      </c>
      <c r="C46" s="20" t="s">
        <v>157</v>
      </c>
      <c r="D46" s="20" t="s">
        <v>202</v>
      </c>
      <c r="E46" s="34">
        <v>66</v>
      </c>
      <c r="F46" s="34">
        <f t="shared" si="5"/>
        <v>66</v>
      </c>
      <c r="G46" s="35">
        <f>IF(AND(catpn_1_SHB_1&gt;0,catpn_1_SHV_51&gt;0),(dagenperjaar1*VLOOKUP(B46,dagsoorttabel1,2,FALSE))/(((dagenperjaar1*VLOOKUP(B46,dagsoorttabel1,2,FALSE))-catfd_1_SHV_51)/catpn_1_SHB_1+catfd_1_SHV_51/catpn_1_SHV_51),0)</f>
        <v>0</v>
      </c>
      <c r="H46" s="36">
        <f>IF(AND(catpn_1_SHB_1&gt;0,catpn_1_SHV_51&gt;0),(catdw_1_SHB_1*((dagenperjaar1*VLOOKUP(B46,dagsoorttabel1,2,FALSE))-catfd_1_SHV_51)/catpn_1_SHB_1+catdw_1_SHV_51*catfd_1_SHV_51/catpn_1_SHV_51)/(((dagenperjaar1*VLOOKUP(B46,dagsoorttabel1,2,FALSE))-catfd_1_SHV_51)/catpn_1_SHB_1+catfd_1_SHV_51/catpn_1_SHV_51),0)</f>
        <v>0</v>
      </c>
      <c r="I46" s="20" t="s">
        <v>45</v>
      </c>
      <c r="J46" s="37">
        <f>IF(AND(catpn_1_SHB_1&gt;0,catpn_1_SHV_51&gt;0),(cattf_1_SHB_1*((dagenperjaar1*VLOOKUP(B46,dagsoorttabel1,2,FALSE))-catfd_1_SHV_51)/catpn_1_SHB_1+cattf_1_SHV_51*catfd_1_SHV_51/catpn_1_SHV_51)/(((dagenperjaar1*VLOOKUP(B46,dagsoorttabel1,2,FALSE))-catfd_1_SHV_51)/catpn_1_SHB_1+catfd_1_SHV_51/catpn_1_SHV_51),0)</f>
        <v>0</v>
      </c>
      <c r="K46" s="34">
        <f t="shared" si="6"/>
        <v>0</v>
      </c>
      <c r="L46" s="37">
        <f t="shared" si="7"/>
        <v>0</v>
      </c>
      <c r="M46" s="34">
        <f t="shared" si="8"/>
        <v>0</v>
      </c>
      <c r="N46" s="37">
        <f t="shared" si="9"/>
        <v>0</v>
      </c>
    </row>
    <row r="47" spans="1:14" x14ac:dyDescent="0.2">
      <c r="A47" s="20" t="s">
        <v>201</v>
      </c>
      <c r="B47" s="20" t="s">
        <v>23</v>
      </c>
      <c r="C47" s="20" t="s">
        <v>157</v>
      </c>
      <c r="D47" s="20" t="s">
        <v>202</v>
      </c>
      <c r="E47" s="34">
        <v>5.5</v>
      </c>
      <c r="F47" s="34">
        <f t="shared" si="5"/>
        <v>0.99215686274509807</v>
      </c>
      <c r="G47" s="35">
        <f>IF(AND(catpn_1_SHB_1&gt;0,catpn_1_SHV_46&gt;0),(dagenperjaar1*VLOOKUP(B47,dagsoorttabel1,2,FALSE))/(((dagenperjaar1*VLOOKUP(B47,dagsoorttabel1,2,FALSE))-catfd_1_SHV_46)/catpn_1_SHB_1+catfd_1_SHV_46/catpn_1_SHV_46),0)</f>
        <v>0</v>
      </c>
      <c r="H47" s="36">
        <f>IF(AND(catpn_1_SHB_1&gt;0,catpn_1_SHV_46&gt;0),(catdw_1_SHB_1*((dagenperjaar1*VLOOKUP(B47,dagsoorttabel1,2,FALSE))-catfd_1_SHV_46)/catpn_1_SHB_1+catdw_1_SHV_46*catfd_1_SHV_46/catpn_1_SHV_46)/(((dagenperjaar1*VLOOKUP(B47,dagsoorttabel1,2,FALSE))-catfd_1_SHV_46)/catpn_1_SHB_1+catfd_1_SHV_46/catpn_1_SHV_46),0)</f>
        <v>0</v>
      </c>
      <c r="I47" s="20" t="s">
        <v>45</v>
      </c>
      <c r="J47" s="37">
        <f>IF(AND(catpn_1_SHB_1&gt;0,catpn_1_SHV_46&gt;0),(cattf_1_SHB_1*((dagenperjaar1*VLOOKUP(B47,dagsoorttabel1,2,FALSE))-catfd_1_SHV_46)/catpn_1_SHB_1+cattf_1_SHV_46*catfd_1_SHV_46/catpn_1_SHV_46)/(((dagenperjaar1*VLOOKUP(B47,dagsoorttabel1,2,FALSE))-catfd_1_SHV_46)/catpn_1_SHB_1+catfd_1_SHV_46/catpn_1_SHV_46),0)</f>
        <v>0</v>
      </c>
      <c r="K47" s="34">
        <f t="shared" si="6"/>
        <v>0</v>
      </c>
      <c r="L47" s="37">
        <f t="shared" si="7"/>
        <v>0</v>
      </c>
      <c r="M47" s="34">
        <f t="shared" si="8"/>
        <v>0</v>
      </c>
      <c r="N47" s="37">
        <f t="shared" si="9"/>
        <v>0</v>
      </c>
    </row>
    <row r="48" spans="1:14" x14ac:dyDescent="0.2">
      <c r="A48" s="20" t="s">
        <v>203</v>
      </c>
      <c r="B48" s="20" t="s">
        <v>11</v>
      </c>
      <c r="C48" s="20" t="s">
        <v>157</v>
      </c>
      <c r="D48" s="20" t="s">
        <v>204</v>
      </c>
      <c r="E48" s="34">
        <v>70.400000000000006</v>
      </c>
      <c r="F48" s="34">
        <f t="shared" si="5"/>
        <v>70.400000000000006</v>
      </c>
      <c r="G48" s="35">
        <f>catpn_1_SHB_1</f>
        <v>0</v>
      </c>
      <c r="H48" s="36">
        <f>catdw_1_SHB_1</f>
        <v>0</v>
      </c>
      <c r="I48" s="20" t="s">
        <v>45</v>
      </c>
      <c r="J48" s="37">
        <f>cattf_1_SHB_1</f>
        <v>0</v>
      </c>
      <c r="K48" s="34">
        <f t="shared" si="6"/>
        <v>0</v>
      </c>
      <c r="L48" s="37">
        <f t="shared" si="7"/>
        <v>0</v>
      </c>
      <c r="M48" s="34">
        <f t="shared" si="8"/>
        <v>0</v>
      </c>
      <c r="N48" s="37">
        <f t="shared" si="9"/>
        <v>0</v>
      </c>
    </row>
    <row r="49" spans="1:14" x14ac:dyDescent="0.2">
      <c r="A49" s="20" t="s">
        <v>203</v>
      </c>
      <c r="B49" s="20" t="s">
        <v>9</v>
      </c>
      <c r="C49" s="20" t="s">
        <v>157</v>
      </c>
      <c r="D49" s="20" t="s">
        <v>204</v>
      </c>
      <c r="E49" s="34">
        <v>15.1</v>
      </c>
      <c r="F49" s="34">
        <f t="shared" si="5"/>
        <v>27.239215686274509</v>
      </c>
      <c r="G49" s="35">
        <f>catpn_1_SHB_1</f>
        <v>0</v>
      </c>
      <c r="H49" s="36">
        <f>catdw_1_SHB_1</f>
        <v>0</v>
      </c>
      <c r="I49" s="20" t="s">
        <v>45</v>
      </c>
      <c r="J49" s="37">
        <f>cattf_1_SHB_1</f>
        <v>0</v>
      </c>
      <c r="K49" s="34">
        <f t="shared" si="6"/>
        <v>0</v>
      </c>
      <c r="L49" s="37">
        <f t="shared" si="7"/>
        <v>0</v>
      </c>
      <c r="M49" s="34">
        <f t="shared" si="8"/>
        <v>0</v>
      </c>
      <c r="N49" s="37">
        <f t="shared" si="9"/>
        <v>0</v>
      </c>
    </row>
    <row r="50" spans="1:14" x14ac:dyDescent="0.2">
      <c r="A50" s="20" t="s">
        <v>205</v>
      </c>
      <c r="B50" s="20" t="s">
        <v>23</v>
      </c>
      <c r="C50" s="20" t="s">
        <v>157</v>
      </c>
      <c r="D50" s="20" t="s">
        <v>206</v>
      </c>
      <c r="E50" s="34">
        <v>303.09999999999997</v>
      </c>
      <c r="F50" s="34">
        <f t="shared" si="5"/>
        <v>54.676862745098035</v>
      </c>
      <c r="G50" s="35">
        <f>IF(AND(catpn_1_THB_1&gt;0,catpn_1_THV_46&gt;0),(dagenperjaar1*VLOOKUP(B50,dagsoorttabel1,2,FALSE))/(((dagenperjaar1*VLOOKUP(B50,dagsoorttabel1,2,FALSE))-catfd_1_THV_46)/catpn_1_THB_1+catfd_1_THV_46/catpn_1_THV_46),0)</f>
        <v>0</v>
      </c>
      <c r="H50" s="36">
        <f>IF(AND(catpn_1_THB_1&gt;0,catpn_1_THV_46&gt;0),(catdw_1_THB_1*((dagenperjaar1*VLOOKUP(B50,dagsoorttabel1,2,FALSE))-catfd_1_THV_46)/catpn_1_THB_1+catdw_1_THV_46*catfd_1_THV_46/catpn_1_THV_46)/(((dagenperjaar1*VLOOKUP(B50,dagsoorttabel1,2,FALSE))-catfd_1_THV_46)/catpn_1_THB_1+catfd_1_THV_46/catpn_1_THV_46),0)</f>
        <v>0</v>
      </c>
      <c r="I50" s="20" t="s">
        <v>45</v>
      </c>
      <c r="J50" s="37">
        <f>IF(AND(catpn_1_THB_1&gt;0,catpn_1_THV_46&gt;0),(cattf_1_THB_1*((dagenperjaar1*VLOOKUP(B50,dagsoorttabel1,2,FALSE))-catfd_1_THV_46)/catpn_1_THB_1+cattf_1_THV_46*catfd_1_THV_46/catpn_1_THV_46)/(((dagenperjaar1*VLOOKUP(B50,dagsoorttabel1,2,FALSE))-catfd_1_THV_46)/catpn_1_THB_1+catfd_1_THV_46/catpn_1_THV_46),0)</f>
        <v>0</v>
      </c>
      <c r="K50" s="34">
        <f t="shared" si="6"/>
        <v>0</v>
      </c>
      <c r="L50" s="37">
        <f t="shared" si="7"/>
        <v>0</v>
      </c>
      <c r="M50" s="34">
        <f t="shared" si="8"/>
        <v>0</v>
      </c>
      <c r="N50" s="37">
        <f t="shared" si="9"/>
        <v>0</v>
      </c>
    </row>
    <row r="51" spans="1:14" x14ac:dyDescent="0.2">
      <c r="A51" s="20" t="s">
        <v>205</v>
      </c>
      <c r="B51" s="20" t="s">
        <v>22</v>
      </c>
      <c r="C51" s="20" t="s">
        <v>157</v>
      </c>
      <c r="D51" s="20" t="s">
        <v>206</v>
      </c>
      <c r="E51" s="34">
        <v>452</v>
      </c>
      <c r="F51" s="34">
        <f t="shared" si="5"/>
        <v>90.4</v>
      </c>
      <c r="G51" s="35">
        <f>IF(AND(catpn_1_THB_1&gt;0,catpn_1_THV_51&gt;0),(dagenperjaar1*VLOOKUP(B51,dagsoorttabel1,2,FALSE))/(((dagenperjaar1*VLOOKUP(B51,dagsoorttabel1,2,FALSE))-catfd_1_THV_51)/catpn_1_THB_1+catfd_1_THV_51/catpn_1_THV_51),0)</f>
        <v>0</v>
      </c>
      <c r="H51" s="36">
        <f>IF(AND(catpn_1_THB_1&gt;0,catpn_1_THV_51&gt;0),(catdw_1_THB_1*((dagenperjaar1*VLOOKUP(B51,dagsoorttabel1,2,FALSE))-catfd_1_THV_51)/catpn_1_THB_1+catdw_1_THV_51*catfd_1_THV_51/catpn_1_THV_51)/(((dagenperjaar1*VLOOKUP(B51,dagsoorttabel1,2,FALSE))-catfd_1_THV_51)/catpn_1_THB_1+catfd_1_THV_51/catpn_1_THV_51),0)</f>
        <v>0</v>
      </c>
      <c r="I51" s="20" t="s">
        <v>45</v>
      </c>
      <c r="J51" s="37">
        <f>IF(AND(catpn_1_THB_1&gt;0,catpn_1_THV_51&gt;0),(cattf_1_THB_1*((dagenperjaar1*VLOOKUP(B51,dagsoorttabel1,2,FALSE))-catfd_1_THV_51)/catpn_1_THB_1+cattf_1_THV_51*catfd_1_THV_51/catpn_1_THV_51)/(((dagenperjaar1*VLOOKUP(B51,dagsoorttabel1,2,FALSE))-catfd_1_THV_51)/catpn_1_THB_1+catfd_1_THV_51/catpn_1_THV_51),0)</f>
        <v>0</v>
      </c>
      <c r="K51" s="34">
        <f t="shared" si="6"/>
        <v>0</v>
      </c>
      <c r="L51" s="37">
        <f t="shared" si="7"/>
        <v>0</v>
      </c>
      <c r="M51" s="34">
        <f t="shared" si="8"/>
        <v>0</v>
      </c>
      <c r="N51" s="37">
        <f t="shared" si="9"/>
        <v>0</v>
      </c>
    </row>
    <row r="52" spans="1:14" x14ac:dyDescent="0.2">
      <c r="A52" s="20" t="s">
        <v>207</v>
      </c>
      <c r="B52" s="20" t="s">
        <v>17</v>
      </c>
      <c r="C52" s="20" t="s">
        <v>157</v>
      </c>
      <c r="D52" s="20" t="s">
        <v>208</v>
      </c>
      <c r="E52" s="34">
        <v>2625.2500000000005</v>
      </c>
      <c r="F52" s="34">
        <f t="shared" si="5"/>
        <v>1183.9362745098042</v>
      </c>
      <c r="G52" s="35">
        <f>IF(AND(catpn_1_VHB_1&gt;0,catpn_1_VHV_46&gt;0),(dagenperjaar1*VLOOKUP(B52,dagsoorttabel1,2,FALSE))/(((dagenperjaar1*VLOOKUP(B52,dagsoorttabel1,2,FALSE))-catfd_1_VHV_46)/catpn_1_VHB_1+catfd_1_VHV_46/catpn_1_VHV_46),0)</f>
        <v>0</v>
      </c>
      <c r="H52" s="36">
        <f>IF(AND(catpn_1_VHB_1&gt;0,catpn_1_VHV_46&gt;0),(catdw_1_VHB_1*((dagenperjaar1*VLOOKUP(B52,dagsoorttabel1,2,FALSE))-catfd_1_VHV_46)/catpn_1_VHB_1+catdw_1_VHV_46*catfd_1_VHV_46/catpn_1_VHV_46)/(((dagenperjaar1*VLOOKUP(B52,dagsoorttabel1,2,FALSE))-catfd_1_VHV_46)/catpn_1_VHB_1+catfd_1_VHV_46/catpn_1_VHV_46),0)</f>
        <v>0</v>
      </c>
      <c r="I52" s="20" t="s">
        <v>45</v>
      </c>
      <c r="J52" s="37">
        <f>IF(AND(catpn_1_VHB_1&gt;0,catpn_1_VHV_46&gt;0),(cattf_1_VHB_1*((dagenperjaar1*VLOOKUP(B52,dagsoorttabel1,2,FALSE))-catfd_1_VHV_46)/catpn_1_VHB_1+cattf_1_VHV_46*catfd_1_VHV_46/catpn_1_VHV_46)/(((dagenperjaar1*VLOOKUP(B52,dagsoorttabel1,2,FALSE))-catfd_1_VHV_46)/catpn_1_VHB_1+catfd_1_VHV_46/catpn_1_VHV_46),0)</f>
        <v>0</v>
      </c>
      <c r="K52" s="34">
        <f t="shared" si="6"/>
        <v>0</v>
      </c>
      <c r="L52" s="37">
        <f t="shared" si="7"/>
        <v>0</v>
      </c>
      <c r="M52" s="34">
        <f t="shared" si="8"/>
        <v>0</v>
      </c>
      <c r="N52" s="37">
        <f t="shared" si="9"/>
        <v>0</v>
      </c>
    </row>
    <row r="53" spans="1:14" x14ac:dyDescent="0.2">
      <c r="A53" s="20" t="s">
        <v>207</v>
      </c>
      <c r="B53" s="20" t="s">
        <v>32</v>
      </c>
      <c r="C53" s="20" t="s">
        <v>157</v>
      </c>
      <c r="D53" s="20" t="s">
        <v>208</v>
      </c>
      <c r="E53" s="34">
        <v>36.299999999999997</v>
      </c>
      <c r="F53" s="34">
        <f t="shared" si="5"/>
        <v>0.14235294117647057</v>
      </c>
      <c r="G53" s="35">
        <f>catpn_1_VHV_1</f>
        <v>0</v>
      </c>
      <c r="H53" s="36">
        <f>catdw_1_VHV_1</f>
        <v>0</v>
      </c>
      <c r="I53" s="20" t="s">
        <v>45</v>
      </c>
      <c r="J53" s="37">
        <f>cattf_1_VHV_1</f>
        <v>0</v>
      </c>
      <c r="K53" s="34">
        <f t="shared" si="6"/>
        <v>0</v>
      </c>
      <c r="L53" s="37">
        <f t="shared" si="7"/>
        <v>0</v>
      </c>
      <c r="M53" s="34">
        <f t="shared" si="8"/>
        <v>0</v>
      </c>
      <c r="N53" s="37">
        <f t="shared" si="9"/>
        <v>0</v>
      </c>
    </row>
    <row r="54" spans="1:14" x14ac:dyDescent="0.2">
      <c r="A54" s="20" t="s">
        <v>207</v>
      </c>
      <c r="B54" s="20" t="s">
        <v>12</v>
      </c>
      <c r="C54" s="20" t="s">
        <v>157</v>
      </c>
      <c r="D54" s="20" t="s">
        <v>208</v>
      </c>
      <c r="E54" s="34">
        <v>1023.3400000000001</v>
      </c>
      <c r="F54" s="34">
        <f t="shared" si="5"/>
        <v>923.01254901960795</v>
      </c>
      <c r="G54" s="35">
        <f>IF(AND(catpn_1_VHB_1&gt;0,catpn_1_VHV_46&gt;0),(dagenperjaar1*VLOOKUP(B54,dagsoorttabel1,2,FALSE))/(((dagenperjaar1*VLOOKUP(B54,dagsoorttabel1,2,FALSE))-catfd_1_VHV_46)/catpn_1_VHB_1+catfd_1_VHV_46/catpn_1_VHV_46),0)</f>
        <v>0</v>
      </c>
      <c r="H54" s="36">
        <f>IF(AND(catpn_1_VHB_1&gt;0,catpn_1_VHV_46&gt;0),(catdw_1_VHB_1*((dagenperjaar1*VLOOKUP(B54,dagsoorttabel1,2,FALSE))-catfd_1_VHV_46)/catpn_1_VHB_1+catdw_1_VHV_46*catfd_1_VHV_46/catpn_1_VHV_46)/(((dagenperjaar1*VLOOKUP(B54,dagsoorttabel1,2,FALSE))-catfd_1_VHV_46)/catpn_1_VHB_1+catfd_1_VHV_46/catpn_1_VHV_46),0)</f>
        <v>0</v>
      </c>
      <c r="I54" s="20" t="s">
        <v>45</v>
      </c>
      <c r="J54" s="37">
        <f>IF(AND(catpn_1_VHB_1&gt;0,catpn_1_VHV_46&gt;0),(cattf_1_VHB_1*((dagenperjaar1*VLOOKUP(B54,dagsoorttabel1,2,FALSE))-catfd_1_VHV_46)/catpn_1_VHB_1+cattf_1_VHV_46*catfd_1_VHV_46/catpn_1_VHV_46)/(((dagenperjaar1*VLOOKUP(B54,dagsoorttabel1,2,FALSE))-catfd_1_VHV_46)/catpn_1_VHB_1+catfd_1_VHV_46/catpn_1_VHV_46),0)</f>
        <v>0</v>
      </c>
      <c r="K54" s="34">
        <f t="shared" si="6"/>
        <v>0</v>
      </c>
      <c r="L54" s="37">
        <f t="shared" si="7"/>
        <v>0</v>
      </c>
      <c r="M54" s="34">
        <f t="shared" si="8"/>
        <v>0</v>
      </c>
      <c r="N54" s="37">
        <f t="shared" si="9"/>
        <v>0</v>
      </c>
    </row>
    <row r="55" spans="1:14" x14ac:dyDescent="0.2">
      <c r="A55" s="20" t="s">
        <v>207</v>
      </c>
      <c r="B55" s="20" t="s">
        <v>11</v>
      </c>
      <c r="C55" s="20" t="s">
        <v>157</v>
      </c>
      <c r="D55" s="20" t="s">
        <v>208</v>
      </c>
      <c r="E55" s="34">
        <v>513.9</v>
      </c>
      <c r="F55" s="34">
        <f t="shared" si="5"/>
        <v>513.9</v>
      </c>
      <c r="G55" s="35">
        <f>IF(AND(catpn_1_VHB_1&gt;0,catpn_1_VHV_51&gt;0),(dagenperjaar1*VLOOKUP(B55,dagsoorttabel1,2,FALSE))/(((dagenperjaar1*VLOOKUP(B55,dagsoorttabel1,2,FALSE))-catfd_1_VHV_51)/catpn_1_VHB_1+catfd_1_VHV_51/catpn_1_VHV_51),0)</f>
        <v>0</v>
      </c>
      <c r="H55" s="36">
        <f>IF(AND(catpn_1_VHB_1&gt;0,catpn_1_VHV_51&gt;0),(catdw_1_VHB_1*((dagenperjaar1*VLOOKUP(B55,dagsoorttabel1,2,FALSE))-catfd_1_VHV_51)/catpn_1_VHB_1+catdw_1_VHV_51*catfd_1_VHV_51/catpn_1_VHV_51)/(((dagenperjaar1*VLOOKUP(B55,dagsoorttabel1,2,FALSE))-catfd_1_VHV_51)/catpn_1_VHB_1+catfd_1_VHV_51/catpn_1_VHV_51),0)</f>
        <v>0</v>
      </c>
      <c r="I55" s="20" t="s">
        <v>45</v>
      </c>
      <c r="J55" s="37">
        <f>IF(AND(catpn_1_VHB_1&gt;0,catpn_1_VHV_51&gt;0),(cattf_1_VHB_1*((dagenperjaar1*VLOOKUP(B55,dagsoorttabel1,2,FALSE))-catfd_1_VHV_51)/catpn_1_VHB_1+cattf_1_VHV_51*catfd_1_VHV_51/catpn_1_VHV_51)/(((dagenperjaar1*VLOOKUP(B55,dagsoorttabel1,2,FALSE))-catfd_1_VHV_51)/catpn_1_VHB_1+catfd_1_VHV_51/catpn_1_VHV_51),0)</f>
        <v>0</v>
      </c>
      <c r="K55" s="34">
        <f t="shared" si="6"/>
        <v>0</v>
      </c>
      <c r="L55" s="37">
        <f t="shared" si="7"/>
        <v>0</v>
      </c>
      <c r="M55" s="34">
        <f t="shared" si="8"/>
        <v>0</v>
      </c>
      <c r="N55" s="37">
        <f t="shared" si="9"/>
        <v>0</v>
      </c>
    </row>
    <row r="56" spans="1:14" x14ac:dyDescent="0.2">
      <c r="A56" s="20" t="s">
        <v>207</v>
      </c>
      <c r="B56" s="20" t="s">
        <v>25</v>
      </c>
      <c r="C56" s="20" t="s">
        <v>157</v>
      </c>
      <c r="D56" s="20" t="s">
        <v>208</v>
      </c>
      <c r="E56" s="34">
        <v>12</v>
      </c>
      <c r="F56" s="34">
        <f t="shared" si="5"/>
        <v>1.223529411764706</v>
      </c>
      <c r="G56" s="35">
        <f>catpn_1_VHV_26</f>
        <v>0</v>
      </c>
      <c r="H56" s="36">
        <f>catdw_1_VHV_26</f>
        <v>0</v>
      </c>
      <c r="I56" s="20" t="s">
        <v>45</v>
      </c>
      <c r="J56" s="37">
        <f>cattf_1_VHV_26</f>
        <v>0</v>
      </c>
      <c r="K56" s="34">
        <f t="shared" si="6"/>
        <v>0</v>
      </c>
      <c r="L56" s="37">
        <f t="shared" si="7"/>
        <v>0</v>
      </c>
      <c r="M56" s="34">
        <f t="shared" si="8"/>
        <v>0</v>
      </c>
      <c r="N56" s="37">
        <f t="shared" si="9"/>
        <v>0</v>
      </c>
    </row>
    <row r="57" spans="1:14" x14ac:dyDescent="0.2">
      <c r="A57" s="20" t="s">
        <v>207</v>
      </c>
      <c r="B57" s="20" t="s">
        <v>23</v>
      </c>
      <c r="C57" s="20" t="s">
        <v>157</v>
      </c>
      <c r="D57" s="20" t="s">
        <v>208</v>
      </c>
      <c r="E57" s="34">
        <v>116.30000000000001</v>
      </c>
      <c r="F57" s="34">
        <f t="shared" si="5"/>
        <v>20.979607843137256</v>
      </c>
      <c r="G57" s="35">
        <f>IF(AND(catpn_1_VHB_1&gt;0,catpn_1_VHV_46&gt;0),(dagenperjaar1*VLOOKUP(B57,dagsoorttabel1,2,FALSE))/(((dagenperjaar1*VLOOKUP(B57,dagsoorttabel1,2,FALSE))-catfd_1_VHV_46)/catpn_1_VHB_1+catfd_1_VHV_46/catpn_1_VHV_46),0)</f>
        <v>0</v>
      </c>
      <c r="H57" s="36">
        <f>IF(AND(catpn_1_VHB_1&gt;0,catpn_1_VHV_46&gt;0),(catdw_1_VHB_1*((dagenperjaar1*VLOOKUP(B57,dagsoorttabel1,2,FALSE))-catfd_1_VHV_46)/catpn_1_VHB_1+catdw_1_VHV_46*catfd_1_VHV_46/catpn_1_VHV_46)/(((dagenperjaar1*VLOOKUP(B57,dagsoorttabel1,2,FALSE))-catfd_1_VHV_46)/catpn_1_VHB_1+catfd_1_VHV_46/catpn_1_VHV_46),0)</f>
        <v>0</v>
      </c>
      <c r="I57" s="20" t="s">
        <v>45</v>
      </c>
      <c r="J57" s="37">
        <f>IF(AND(catpn_1_VHB_1&gt;0,catpn_1_VHV_46&gt;0),(cattf_1_VHB_1*((dagenperjaar1*VLOOKUP(B57,dagsoorttabel1,2,FALSE))-catfd_1_VHV_46)/catpn_1_VHB_1+cattf_1_VHV_46*catfd_1_VHV_46/catpn_1_VHV_46)/(((dagenperjaar1*VLOOKUP(B57,dagsoorttabel1,2,FALSE))-catfd_1_VHV_46)/catpn_1_VHB_1+catfd_1_VHV_46/catpn_1_VHV_46),0)</f>
        <v>0</v>
      </c>
      <c r="K57" s="34">
        <f t="shared" si="6"/>
        <v>0</v>
      </c>
      <c r="L57" s="37">
        <f t="shared" si="7"/>
        <v>0</v>
      </c>
      <c r="M57" s="34">
        <f t="shared" si="8"/>
        <v>0</v>
      </c>
      <c r="N57" s="37">
        <f t="shared" si="9"/>
        <v>0</v>
      </c>
    </row>
    <row r="58" spans="1:14" x14ac:dyDescent="0.2">
      <c r="A58" s="20" t="s">
        <v>207</v>
      </c>
      <c r="B58" s="20" t="s">
        <v>22</v>
      </c>
      <c r="C58" s="20" t="s">
        <v>157</v>
      </c>
      <c r="D58" s="20" t="s">
        <v>208</v>
      </c>
      <c r="E58" s="34">
        <v>132</v>
      </c>
      <c r="F58" s="34">
        <f t="shared" si="5"/>
        <v>26.400000000000002</v>
      </c>
      <c r="G58" s="35">
        <f>IF(AND(catpn_1_VHB_1&gt;0,catpn_1_VHV_51&gt;0),(dagenperjaar1*VLOOKUP(B58,dagsoorttabel1,2,FALSE))/(((dagenperjaar1*VLOOKUP(B58,dagsoorttabel1,2,FALSE))-catfd_1_VHV_51)/catpn_1_VHB_1+catfd_1_VHV_51/catpn_1_VHV_51),0)</f>
        <v>0</v>
      </c>
      <c r="H58" s="36">
        <f>IF(AND(catpn_1_VHB_1&gt;0,catpn_1_VHV_51&gt;0),(catdw_1_VHB_1*((dagenperjaar1*VLOOKUP(B58,dagsoorttabel1,2,FALSE))-catfd_1_VHV_51)/catpn_1_VHB_1+catdw_1_VHV_51*catfd_1_VHV_51/catpn_1_VHV_51)/(((dagenperjaar1*VLOOKUP(B58,dagsoorttabel1,2,FALSE))-catfd_1_VHV_51)/catpn_1_VHB_1+catfd_1_VHV_51/catpn_1_VHV_51),0)</f>
        <v>0</v>
      </c>
      <c r="I58" s="20" t="s">
        <v>45</v>
      </c>
      <c r="J58" s="37">
        <f>IF(AND(catpn_1_VHB_1&gt;0,catpn_1_VHV_51&gt;0),(cattf_1_VHB_1*((dagenperjaar1*VLOOKUP(B58,dagsoorttabel1,2,FALSE))-catfd_1_VHV_51)/catpn_1_VHB_1+cattf_1_VHV_51*catfd_1_VHV_51/catpn_1_VHV_51)/(((dagenperjaar1*VLOOKUP(B58,dagsoorttabel1,2,FALSE))-catfd_1_VHV_51)/catpn_1_VHB_1+catfd_1_VHV_51/catpn_1_VHV_51),0)</f>
        <v>0</v>
      </c>
      <c r="K58" s="34">
        <f t="shared" si="6"/>
        <v>0</v>
      </c>
      <c r="L58" s="37">
        <f t="shared" si="7"/>
        <v>0</v>
      </c>
      <c r="M58" s="34">
        <f t="shared" si="8"/>
        <v>0</v>
      </c>
      <c r="N58" s="37">
        <f t="shared" si="9"/>
        <v>0</v>
      </c>
    </row>
    <row r="59" spans="1:14" x14ac:dyDescent="0.2">
      <c r="A59" s="20" t="s">
        <v>209</v>
      </c>
      <c r="B59" s="20" t="s">
        <v>12</v>
      </c>
      <c r="C59" s="20" t="s">
        <v>157</v>
      </c>
      <c r="D59" s="20" t="s">
        <v>210</v>
      </c>
      <c r="E59" s="34">
        <v>82.8</v>
      </c>
      <c r="F59" s="34">
        <f t="shared" si="5"/>
        <v>74.682352941176475</v>
      </c>
      <c r="G59" s="35">
        <f>IF(AND(catpn_1_WPHB_1&gt;0,catpn_1_WPHV_46&gt;0),(dagenperjaar1*VLOOKUP(B59,dagsoorttabel1,2,FALSE))/(((dagenperjaar1*VLOOKUP(B59,dagsoorttabel1,2,FALSE))-catfd_1_WPHV_46)/catpn_1_WPHB_1+catfd_1_WPHV_46/catpn_1_WPHV_46),0)</f>
        <v>0</v>
      </c>
      <c r="H59" s="36">
        <f>IF(AND(catpn_1_WPHB_1&gt;0,catpn_1_WPHV_46&gt;0),(catdw_1_WPHB_1*((dagenperjaar1*VLOOKUP(B59,dagsoorttabel1,2,FALSE))-catfd_1_WPHV_46)/catpn_1_WPHB_1+catdw_1_WPHV_46*catfd_1_WPHV_46/catpn_1_WPHV_46)/(((dagenperjaar1*VLOOKUP(B59,dagsoorttabel1,2,FALSE))-catfd_1_WPHV_46)/catpn_1_WPHB_1+catfd_1_WPHV_46/catpn_1_WPHV_46),0)</f>
        <v>0</v>
      </c>
      <c r="I59" s="20" t="s">
        <v>45</v>
      </c>
      <c r="J59" s="37">
        <f>IF(AND(catpn_1_WPHB_1&gt;0,catpn_1_WPHV_46&gt;0),(cattf_1_WPHB_1*((dagenperjaar1*VLOOKUP(B59,dagsoorttabel1,2,FALSE))-catfd_1_WPHV_46)/catpn_1_WPHB_1+cattf_1_WPHV_46*catfd_1_WPHV_46/catpn_1_WPHV_46)/(((dagenperjaar1*VLOOKUP(B59,dagsoorttabel1,2,FALSE))-catfd_1_WPHV_46)/catpn_1_WPHB_1+catfd_1_WPHV_46/catpn_1_WPHV_46),0)</f>
        <v>0</v>
      </c>
      <c r="K59" s="34">
        <f t="shared" si="6"/>
        <v>0</v>
      </c>
      <c r="L59" s="37">
        <f t="shared" si="7"/>
        <v>0</v>
      </c>
      <c r="M59" s="34">
        <f t="shared" si="8"/>
        <v>0</v>
      </c>
      <c r="N59" s="37">
        <f t="shared" si="9"/>
        <v>0</v>
      </c>
    </row>
    <row r="60" spans="1:14" x14ac:dyDescent="0.2">
      <c r="A60" s="20" t="s">
        <v>209</v>
      </c>
      <c r="B60" s="20" t="s">
        <v>11</v>
      </c>
      <c r="C60" s="20" t="s">
        <v>157</v>
      </c>
      <c r="D60" s="20" t="s">
        <v>210</v>
      </c>
      <c r="E60" s="34">
        <v>53</v>
      </c>
      <c r="F60" s="34">
        <f t="shared" si="5"/>
        <v>53</v>
      </c>
      <c r="G60" s="35">
        <f>IF(AND(catpn_1_WPHB_1&gt;0,catpn_1_WPHV_51&gt;0),(dagenperjaar1*VLOOKUP(B60,dagsoorttabel1,2,FALSE))/(((dagenperjaar1*VLOOKUP(B60,dagsoorttabel1,2,FALSE))-catfd_1_WPHV_51)/catpn_1_WPHB_1+catfd_1_WPHV_51/catpn_1_WPHV_51),0)</f>
        <v>0</v>
      </c>
      <c r="H60" s="36">
        <f>IF(AND(catpn_1_WPHB_1&gt;0,catpn_1_WPHV_51&gt;0),(catdw_1_WPHB_1*((dagenperjaar1*VLOOKUP(B60,dagsoorttabel1,2,FALSE))-catfd_1_WPHV_51)/catpn_1_WPHB_1+catdw_1_WPHV_51*catfd_1_WPHV_51/catpn_1_WPHV_51)/(((dagenperjaar1*VLOOKUP(B60,dagsoorttabel1,2,FALSE))-catfd_1_WPHV_51)/catpn_1_WPHB_1+catfd_1_WPHV_51/catpn_1_WPHV_51),0)</f>
        <v>0</v>
      </c>
      <c r="I60" s="20" t="s">
        <v>45</v>
      </c>
      <c r="J60" s="37">
        <f>IF(AND(catpn_1_WPHB_1&gt;0,catpn_1_WPHV_51&gt;0),(cattf_1_WPHB_1*((dagenperjaar1*VLOOKUP(B60,dagsoorttabel1,2,FALSE))-catfd_1_WPHV_51)/catpn_1_WPHB_1+cattf_1_WPHV_51*catfd_1_WPHV_51/catpn_1_WPHV_51)/(((dagenperjaar1*VLOOKUP(B60,dagsoorttabel1,2,FALSE))-catfd_1_WPHV_51)/catpn_1_WPHB_1+catfd_1_WPHV_51/catpn_1_WPHV_51),0)</f>
        <v>0</v>
      </c>
      <c r="K60" s="34">
        <f t="shared" si="6"/>
        <v>0</v>
      </c>
      <c r="L60" s="37">
        <f t="shared" si="7"/>
        <v>0</v>
      </c>
      <c r="M60" s="34">
        <f t="shared" si="8"/>
        <v>0</v>
      </c>
      <c r="N60" s="37">
        <f t="shared" si="9"/>
        <v>0</v>
      </c>
    </row>
    <row r="61" spans="1:14" x14ac:dyDescent="0.2">
      <c r="A61" s="20" t="s">
        <v>209</v>
      </c>
      <c r="B61" s="20" t="s">
        <v>28</v>
      </c>
      <c r="C61" s="20" t="s">
        <v>157</v>
      </c>
      <c r="D61" s="20" t="s">
        <v>210</v>
      </c>
      <c r="E61" s="34">
        <v>9.1999999999999993</v>
      </c>
      <c r="F61" s="34">
        <f t="shared" si="5"/>
        <v>0.21647058823529411</v>
      </c>
      <c r="G61" s="35">
        <f>catpn_1_WPHV_6</f>
        <v>0</v>
      </c>
      <c r="H61" s="36">
        <f>catdw_1_WPHV_6</f>
        <v>0</v>
      </c>
      <c r="I61" s="20" t="s">
        <v>45</v>
      </c>
      <c r="J61" s="37">
        <f>cattf_1_WPHV_6</f>
        <v>0</v>
      </c>
      <c r="K61" s="34">
        <f t="shared" si="6"/>
        <v>0</v>
      </c>
      <c r="L61" s="37">
        <f t="shared" si="7"/>
        <v>0</v>
      </c>
      <c r="M61" s="34">
        <f t="shared" si="8"/>
        <v>0</v>
      </c>
      <c r="N61" s="37">
        <f t="shared" si="9"/>
        <v>0</v>
      </c>
    </row>
    <row r="62" spans="1:14" x14ac:dyDescent="0.2">
      <c r="A62" s="20" t="s">
        <v>211</v>
      </c>
      <c r="B62" s="20" t="s">
        <v>31</v>
      </c>
      <c r="C62" s="20" t="s">
        <v>157</v>
      </c>
      <c r="D62" s="20" t="s">
        <v>212</v>
      </c>
      <c r="E62" s="34">
        <v>48.4</v>
      </c>
      <c r="F62" s="34">
        <f t="shared" si="5"/>
        <v>0.37960784313725487</v>
      </c>
      <c r="G62" s="38"/>
      <c r="H62" s="23"/>
      <c r="I62" s="20" t="s">
        <v>45</v>
      </c>
      <c r="J62" s="24"/>
      <c r="K62" s="34">
        <f t="shared" si="6"/>
        <v>0</v>
      </c>
      <c r="L62" s="37">
        <f t="shared" si="7"/>
        <v>0</v>
      </c>
      <c r="M62" s="34">
        <f t="shared" si="8"/>
        <v>0</v>
      </c>
      <c r="N62" s="37">
        <f t="shared" si="9"/>
        <v>0</v>
      </c>
    </row>
    <row r="63" spans="1:14" x14ac:dyDescent="0.2">
      <c r="A63" s="20" t="s">
        <v>213</v>
      </c>
      <c r="B63" s="20" t="s">
        <v>12</v>
      </c>
      <c r="C63" s="20" t="s">
        <v>157</v>
      </c>
      <c r="D63" s="20" t="s">
        <v>214</v>
      </c>
      <c r="E63" s="34">
        <v>35.58</v>
      </c>
      <c r="F63" s="34">
        <f t="shared" si="5"/>
        <v>32.091764705882355</v>
      </c>
      <c r="G63" s="38"/>
      <c r="H63" s="23"/>
      <c r="I63" s="20" t="s">
        <v>45</v>
      </c>
      <c r="J63" s="24"/>
      <c r="K63" s="34">
        <f t="shared" si="6"/>
        <v>0</v>
      </c>
      <c r="L63" s="37">
        <f t="shared" si="7"/>
        <v>0</v>
      </c>
      <c r="M63" s="34">
        <f t="shared" si="8"/>
        <v>0</v>
      </c>
      <c r="N63" s="37">
        <f t="shared" si="9"/>
        <v>0</v>
      </c>
    </row>
    <row r="64" spans="1:14" x14ac:dyDescent="0.2">
      <c r="A64" s="20" t="s">
        <v>215</v>
      </c>
      <c r="B64" s="20" t="s">
        <v>22</v>
      </c>
      <c r="C64" s="20" t="s">
        <v>216</v>
      </c>
      <c r="D64" s="20" t="s">
        <v>217</v>
      </c>
      <c r="E64" s="34">
        <v>1</v>
      </c>
      <c r="F64" s="34">
        <f t="shared" si="5"/>
        <v>0.2</v>
      </c>
      <c r="G64" s="38"/>
      <c r="H64" s="23"/>
      <c r="I64" s="20" t="s">
        <v>218</v>
      </c>
      <c r="J64" s="24"/>
      <c r="K64" s="34">
        <f>F64*ROUND(G64,4)/60</f>
        <v>0</v>
      </c>
      <c r="L64" s="37">
        <f t="shared" si="7"/>
        <v>0</v>
      </c>
      <c r="M64" s="34">
        <f t="shared" si="8"/>
        <v>0</v>
      </c>
      <c r="N64" s="37">
        <f t="shared" si="9"/>
        <v>0</v>
      </c>
    </row>
    <row r="65" spans="1:14" x14ac:dyDescent="0.2">
      <c r="A65" s="20" t="s">
        <v>219</v>
      </c>
      <c r="B65" s="20" t="s">
        <v>31</v>
      </c>
      <c r="C65" s="20" t="s">
        <v>216</v>
      </c>
      <c r="D65" s="20" t="s">
        <v>220</v>
      </c>
      <c r="E65" s="34">
        <v>1</v>
      </c>
      <c r="F65" s="34">
        <f t="shared" si="5"/>
        <v>7.8431372549019607E-3</v>
      </c>
      <c r="G65" s="38"/>
      <c r="H65" s="23"/>
      <c r="I65" s="20" t="s">
        <v>218</v>
      </c>
      <c r="J65" s="24"/>
      <c r="K65" s="34">
        <f>F65*ROUND(G65,4)/60</f>
        <v>0</v>
      </c>
      <c r="L65" s="37">
        <f t="shared" si="7"/>
        <v>0</v>
      </c>
      <c r="M65" s="34">
        <f t="shared" si="8"/>
        <v>0</v>
      </c>
      <c r="N65" s="37">
        <f t="shared" si="9"/>
        <v>0</v>
      </c>
    </row>
    <row r="66" spans="1:14" x14ac:dyDescent="0.2">
      <c r="A66" s="20" t="s">
        <v>221</v>
      </c>
      <c r="B66" s="20" t="s">
        <v>32</v>
      </c>
      <c r="C66" s="20" t="s">
        <v>216</v>
      </c>
      <c r="D66" s="20" t="s">
        <v>222</v>
      </c>
      <c r="E66" s="34">
        <v>27</v>
      </c>
      <c r="F66" s="34">
        <f t="shared" si="5"/>
        <v>0.10588235294117647</v>
      </c>
      <c r="G66" s="38"/>
      <c r="H66" s="23"/>
      <c r="I66" s="20" t="s">
        <v>223</v>
      </c>
      <c r="J66" s="24"/>
      <c r="K66" s="34">
        <f>F66*ROUND(G66,4)/60</f>
        <v>0</v>
      </c>
      <c r="L66" s="37">
        <f t="shared" si="7"/>
        <v>0</v>
      </c>
      <c r="M66" s="34">
        <f t="shared" si="8"/>
        <v>0</v>
      </c>
      <c r="N66" s="37">
        <f t="shared" si="9"/>
        <v>0</v>
      </c>
    </row>
    <row r="67" spans="1:14" x14ac:dyDescent="0.2">
      <c r="A67" s="20" t="s">
        <v>224</v>
      </c>
      <c r="B67" s="20" t="s">
        <v>32</v>
      </c>
      <c r="C67" s="20" t="s">
        <v>216</v>
      </c>
      <c r="D67" s="20" t="s">
        <v>225</v>
      </c>
      <c r="E67" s="34">
        <v>24</v>
      </c>
      <c r="F67" s="34">
        <f t="shared" si="5"/>
        <v>9.4117647058823528E-2</v>
      </c>
      <c r="G67" s="38"/>
      <c r="H67" s="23"/>
      <c r="I67" s="20" t="s">
        <v>223</v>
      </c>
      <c r="J67" s="24"/>
      <c r="K67" s="34">
        <f>F67*ROUND(G67,4)/60</f>
        <v>0</v>
      </c>
      <c r="L67" s="37">
        <f t="shared" si="7"/>
        <v>0</v>
      </c>
      <c r="M67" s="34">
        <f t="shared" si="8"/>
        <v>0</v>
      </c>
      <c r="N67" s="37">
        <f t="shared" si="9"/>
        <v>0</v>
      </c>
    </row>
    <row r="68" spans="1:14" x14ac:dyDescent="0.2">
      <c r="A68" s="20" t="s">
        <v>226</v>
      </c>
      <c r="B68" s="20" t="s">
        <v>23</v>
      </c>
      <c r="C68" s="20" t="s">
        <v>216</v>
      </c>
      <c r="D68" s="20" t="s">
        <v>227</v>
      </c>
      <c r="E68" s="34">
        <v>4.5</v>
      </c>
      <c r="F68" s="34">
        <f t="shared" si="5"/>
        <v>0.81176470588235294</v>
      </c>
      <c r="G68" s="35"/>
      <c r="H68" s="23"/>
      <c r="I68" s="20" t="s">
        <v>228</v>
      </c>
      <c r="J68" s="24"/>
      <c r="K68" s="34">
        <f>F68</f>
        <v>0.81176470588235294</v>
      </c>
      <c r="L68" s="37">
        <f t="shared" si="7"/>
        <v>0</v>
      </c>
      <c r="M68" s="34">
        <f t="shared" si="8"/>
        <v>207</v>
      </c>
      <c r="N68" s="37">
        <f t="shared" si="9"/>
        <v>0</v>
      </c>
    </row>
    <row r="69" spans="1:14" x14ac:dyDescent="0.2">
      <c r="A69" s="25" t="s">
        <v>229</v>
      </c>
      <c r="B69" s="25" t="s">
        <v>32</v>
      </c>
      <c r="C69" s="25" t="s">
        <v>216</v>
      </c>
      <c r="D69" s="25" t="s">
        <v>230</v>
      </c>
      <c r="E69" s="39">
        <v>1</v>
      </c>
      <c r="F69" s="39">
        <f t="shared" si="5"/>
        <v>3.9215686274509803E-3</v>
      </c>
      <c r="G69" s="40"/>
      <c r="H69" s="28"/>
      <c r="I69" s="25" t="s">
        <v>218</v>
      </c>
      <c r="J69" s="29"/>
      <c r="K69" s="39">
        <f>F69*ROUND(G69,4)/60</f>
        <v>0</v>
      </c>
      <c r="L69" s="41">
        <f t="shared" si="7"/>
        <v>0</v>
      </c>
      <c r="M69" s="39">
        <f t="shared" si="8"/>
        <v>0</v>
      </c>
      <c r="N69" s="41">
        <f t="shared" si="9"/>
        <v>0</v>
      </c>
    </row>
    <row r="70" spans="1:14" x14ac:dyDescent="0.2">
      <c r="A70" s="43" t="s">
        <v>231</v>
      </c>
      <c r="B70" s="44"/>
      <c r="C70" s="44"/>
      <c r="D70" s="44"/>
      <c r="E70" s="44"/>
      <c r="F70" s="44"/>
      <c r="G70" s="44"/>
      <c r="H70" s="44"/>
      <c r="I70" s="44"/>
      <c r="J70" s="44"/>
      <c r="K70" s="45">
        <f>SUM(K6:K69)</f>
        <v>0.81176470588235294</v>
      </c>
      <c r="L70" s="46">
        <f>SUM(L6:L69)</f>
        <v>0</v>
      </c>
      <c r="M70" s="45">
        <f>SUM(M6:M69)</f>
        <v>207</v>
      </c>
      <c r="N70" s="47">
        <f>SUM(N6:N69)</f>
        <v>0</v>
      </c>
    </row>
    <row r="71" spans="1:14" x14ac:dyDescent="0.2">
      <c r="A71" s="4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9"/>
    </row>
    <row r="72" spans="1:14" x14ac:dyDescent="0.2">
      <c r="A72" s="43" t="s">
        <v>232</v>
      </c>
      <c r="B72" s="44"/>
      <c r="C72" s="44"/>
      <c r="D72" s="44"/>
      <c r="E72" s="44"/>
      <c r="F72" s="44"/>
      <c r="G72" s="44"/>
      <c r="H72" s="44"/>
      <c r="I72" s="44"/>
      <c r="J72" s="46">
        <f>IF(urenjaar1&gt;0,SUMIF(M6:M69,"&gt;0",N6:N69)/urenjaar1,0)</f>
        <v>0</v>
      </c>
      <c r="K72" s="44"/>
      <c r="L72" s="44"/>
      <c r="M72" s="44"/>
      <c r="N72" s="49"/>
    </row>
    <row r="73" spans="1:14" x14ac:dyDescent="0.2">
      <c r="A73" s="4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9"/>
    </row>
    <row r="75" spans="1:14" x14ac:dyDescent="0.2">
      <c r="A75" s="43" t="s">
        <v>233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5">
        <f>urenjaar1</f>
        <v>207</v>
      </c>
      <c r="N75" s="46">
        <f>prijsjaar1</f>
        <v>0</v>
      </c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25F1-44FE-4FD9-B0CB-B9B3015B1BD4}">
  <dimension ref="A1:U41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10" width="8.625" customWidth="1"/>
    <col min="11" max="12" width="10.625" customWidth="1"/>
    <col min="13" max="14" width="11.625" customWidth="1"/>
    <col min="15" max="15" width="9.625" customWidth="1"/>
    <col min="16" max="19" width="11.625" customWidth="1"/>
    <col min="20" max="20" width="12.625" customWidth="1"/>
    <col min="21" max="21" width="14.625" customWidth="1"/>
  </cols>
  <sheetData>
    <row r="1" spans="1:21" x14ac:dyDescent="0.2">
      <c r="A1" s="1" t="str">
        <f>CONCATENATE("Bijlage 1.3: ",tabeltype," ruimten werkdag")</f>
        <v>Bijlage 1.3: Invultabel ruimten werkdag</v>
      </c>
    </row>
    <row r="3" spans="1:21" ht="38.25" x14ac:dyDescent="0.2">
      <c r="A3" s="50" t="s">
        <v>234</v>
      </c>
      <c r="B3" s="8" t="s">
        <v>235</v>
      </c>
      <c r="C3" s="8" t="s">
        <v>236</v>
      </c>
      <c r="D3" s="8" t="s">
        <v>237</v>
      </c>
      <c r="E3" s="8" t="s">
        <v>238</v>
      </c>
      <c r="F3" s="8" t="s">
        <v>239</v>
      </c>
      <c r="G3" s="8" t="s">
        <v>148</v>
      </c>
      <c r="H3" s="8" t="s">
        <v>7</v>
      </c>
      <c r="I3" s="8" t="s">
        <v>240</v>
      </c>
      <c r="J3" s="8" t="s">
        <v>241</v>
      </c>
      <c r="K3" s="8" t="s">
        <v>150</v>
      </c>
      <c r="L3" s="8" t="s">
        <v>151</v>
      </c>
      <c r="M3" s="8" t="s">
        <v>37</v>
      </c>
      <c r="N3" s="8" t="s">
        <v>38</v>
      </c>
      <c r="O3" s="8" t="s">
        <v>39</v>
      </c>
      <c r="P3" s="8" t="s">
        <v>40</v>
      </c>
      <c r="Q3" s="8" t="s">
        <v>152</v>
      </c>
      <c r="R3" s="8" t="s">
        <v>242</v>
      </c>
      <c r="S3" s="8" t="s">
        <v>153</v>
      </c>
      <c r="T3" s="8" t="s">
        <v>154</v>
      </c>
      <c r="U3" s="51" t="s">
        <v>155</v>
      </c>
    </row>
    <row r="4" spans="1:21" x14ac:dyDescent="0.2">
      <c r="A4" s="52" t="s">
        <v>243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2"/>
    </row>
    <row r="5" spans="1:21" x14ac:dyDescent="0.2">
      <c r="A5" s="53" t="s">
        <v>244</v>
      </c>
      <c r="B5" s="54" t="s">
        <v>245</v>
      </c>
      <c r="C5" s="54" t="s">
        <v>246</v>
      </c>
      <c r="D5" s="54" t="s">
        <v>247</v>
      </c>
      <c r="E5" s="55" t="s">
        <v>248</v>
      </c>
      <c r="F5" s="54" t="s">
        <v>249</v>
      </c>
      <c r="G5" s="54" t="s">
        <v>201</v>
      </c>
      <c r="H5" s="54" t="s">
        <v>11</v>
      </c>
      <c r="I5" s="54" t="s">
        <v>157</v>
      </c>
      <c r="J5" s="54"/>
      <c r="K5" s="56">
        <v>6</v>
      </c>
      <c r="L5" s="56">
        <f t="shared" ref="L5:L68" si="0">K5*VLOOKUP(H5,dagsoorttabel1,2,FALSE)</f>
        <v>6</v>
      </c>
      <c r="M5" s="57">
        <f>prodnorm78</f>
        <v>0</v>
      </c>
      <c r="N5" s="58">
        <f>dagwerk78</f>
        <v>0</v>
      </c>
      <c r="O5" s="54" t="s">
        <v>45</v>
      </c>
      <c r="P5" s="59">
        <f>uurtarief78</f>
        <v>0</v>
      </c>
      <c r="Q5" s="56" t="e">
        <f>IF(ISBLANK(M5),0,L5/ROUND(M5,4))</f>
        <v>#DIV/0!</v>
      </c>
      <c r="R5" s="56" t="e">
        <f>IF(ISBLANK(M5),0,Q5*ROUND(N5,2))</f>
        <v>#DIV/0!</v>
      </c>
      <c r="S5" s="59" t="e">
        <f t="shared" ref="S5:S68" si="1">ROUND(P5,2)*Q5</f>
        <v>#DIV/0!</v>
      </c>
      <c r="T5" s="56" t="e">
        <f t="shared" ref="T5:T68" si="2">Q5*dagenperjaar1</f>
        <v>#DIV/0!</v>
      </c>
      <c r="U5" s="60" t="e">
        <f t="shared" ref="U5:U68" si="3">T5*ROUND(P5,2)</f>
        <v>#DIV/0!</v>
      </c>
    </row>
    <row r="6" spans="1:21" x14ac:dyDescent="0.2">
      <c r="A6" s="61" t="s">
        <v>244</v>
      </c>
      <c r="B6" s="62" t="s">
        <v>245</v>
      </c>
      <c r="C6" s="62" t="s">
        <v>250</v>
      </c>
      <c r="D6" s="62" t="s">
        <v>251</v>
      </c>
      <c r="E6" s="63" t="s">
        <v>252</v>
      </c>
      <c r="F6" s="62" t="s">
        <v>251</v>
      </c>
      <c r="G6" s="62" t="s">
        <v>215</v>
      </c>
      <c r="H6" s="62" t="s">
        <v>22</v>
      </c>
      <c r="I6" s="62" t="s">
        <v>216</v>
      </c>
      <c r="J6" s="62"/>
      <c r="K6" s="64">
        <v>1</v>
      </c>
      <c r="L6" s="64">
        <f t="shared" si="0"/>
        <v>0.2</v>
      </c>
      <c r="M6" s="65">
        <f>prodnorm32</f>
        <v>0</v>
      </c>
      <c r="N6" s="66">
        <f>dagwerk32</f>
        <v>0</v>
      </c>
      <c r="O6" s="62" t="s">
        <v>218</v>
      </c>
      <c r="P6" s="67">
        <f>uurtarief32</f>
        <v>0</v>
      </c>
      <c r="Q6" s="64">
        <f>L6*ROUND(M6,4)/60</f>
        <v>0</v>
      </c>
      <c r="R6" s="64">
        <f>IF(ISBLANK(M6),0,Q6*ROUND(N6,2))</f>
        <v>0</v>
      </c>
      <c r="S6" s="67">
        <f t="shared" si="1"/>
        <v>0</v>
      </c>
      <c r="T6" s="64">
        <f t="shared" si="2"/>
        <v>0</v>
      </c>
      <c r="U6" s="68">
        <f t="shared" si="3"/>
        <v>0</v>
      </c>
    </row>
    <row r="7" spans="1:21" x14ac:dyDescent="0.2">
      <c r="A7" s="61" t="s">
        <v>244</v>
      </c>
      <c r="B7" s="62" t="s">
        <v>245</v>
      </c>
      <c r="C7" s="62" t="s">
        <v>250</v>
      </c>
      <c r="D7" s="62" t="s">
        <v>251</v>
      </c>
      <c r="E7" s="63" t="s">
        <v>252</v>
      </c>
      <c r="F7" s="62" t="s">
        <v>251</v>
      </c>
      <c r="G7" s="62" t="s">
        <v>219</v>
      </c>
      <c r="H7" s="62" t="s">
        <v>31</v>
      </c>
      <c r="I7" s="62" t="s">
        <v>216</v>
      </c>
      <c r="J7" s="62"/>
      <c r="K7" s="64">
        <v>1</v>
      </c>
      <c r="L7" s="64">
        <f t="shared" si="0"/>
        <v>7.8431372549019607E-3</v>
      </c>
      <c r="M7" s="65">
        <f>prodnorm33</f>
        <v>0</v>
      </c>
      <c r="N7" s="66">
        <f>dagwerk33</f>
        <v>0</v>
      </c>
      <c r="O7" s="62" t="s">
        <v>218</v>
      </c>
      <c r="P7" s="67">
        <f>uurtarief33</f>
        <v>0</v>
      </c>
      <c r="Q7" s="64">
        <f>L7*ROUND(M7,4)/60</f>
        <v>0</v>
      </c>
      <c r="R7" s="64">
        <f>IF(ISBLANK(M7),0,Q7*ROUND(N7,2))</f>
        <v>0</v>
      </c>
      <c r="S7" s="67">
        <f t="shared" si="1"/>
        <v>0</v>
      </c>
      <c r="T7" s="64">
        <f t="shared" si="2"/>
        <v>0</v>
      </c>
      <c r="U7" s="68">
        <f t="shared" si="3"/>
        <v>0</v>
      </c>
    </row>
    <row r="8" spans="1:21" x14ac:dyDescent="0.2">
      <c r="A8" s="61" t="s">
        <v>244</v>
      </c>
      <c r="B8" s="62" t="s">
        <v>245</v>
      </c>
      <c r="C8" s="62" t="s">
        <v>250</v>
      </c>
      <c r="D8" s="62" t="s">
        <v>251</v>
      </c>
      <c r="E8" s="63" t="s">
        <v>252</v>
      </c>
      <c r="F8" s="62" t="s">
        <v>251</v>
      </c>
      <c r="G8" s="62" t="s">
        <v>221</v>
      </c>
      <c r="H8" s="62" t="s">
        <v>32</v>
      </c>
      <c r="I8" s="62" t="s">
        <v>216</v>
      </c>
      <c r="J8" s="62"/>
      <c r="K8" s="64">
        <v>27</v>
      </c>
      <c r="L8" s="64">
        <f t="shared" si="0"/>
        <v>0.10588235294117647</v>
      </c>
      <c r="M8" s="65">
        <f>prodnorm34</f>
        <v>0</v>
      </c>
      <c r="N8" s="66">
        <f>dagwerk34</f>
        <v>0</v>
      </c>
      <c r="O8" s="62" t="s">
        <v>223</v>
      </c>
      <c r="P8" s="67">
        <f>uurtarief34</f>
        <v>0</v>
      </c>
      <c r="Q8" s="64">
        <f>L8*ROUND(M8,4)/60</f>
        <v>0</v>
      </c>
      <c r="R8" s="64">
        <f>IF(ISBLANK(M8),0,Q8*ROUND(N8,2))</f>
        <v>0</v>
      </c>
      <c r="S8" s="67">
        <f t="shared" si="1"/>
        <v>0</v>
      </c>
      <c r="T8" s="64">
        <f t="shared" si="2"/>
        <v>0</v>
      </c>
      <c r="U8" s="68">
        <f t="shared" si="3"/>
        <v>0</v>
      </c>
    </row>
    <row r="9" spans="1:21" x14ac:dyDescent="0.2">
      <c r="A9" s="61" t="s">
        <v>244</v>
      </c>
      <c r="B9" s="62" t="s">
        <v>245</v>
      </c>
      <c r="C9" s="62" t="s">
        <v>250</v>
      </c>
      <c r="D9" s="62" t="s">
        <v>251</v>
      </c>
      <c r="E9" s="63" t="s">
        <v>252</v>
      </c>
      <c r="F9" s="62" t="s">
        <v>251</v>
      </c>
      <c r="G9" s="62" t="s">
        <v>224</v>
      </c>
      <c r="H9" s="62" t="s">
        <v>32</v>
      </c>
      <c r="I9" s="62" t="s">
        <v>216</v>
      </c>
      <c r="J9" s="62"/>
      <c r="K9" s="64">
        <v>24</v>
      </c>
      <c r="L9" s="64">
        <f t="shared" si="0"/>
        <v>9.4117647058823528E-2</v>
      </c>
      <c r="M9" s="65">
        <f>prodnorm35</f>
        <v>0</v>
      </c>
      <c r="N9" s="66">
        <f>dagwerk35</f>
        <v>0</v>
      </c>
      <c r="O9" s="62" t="s">
        <v>223</v>
      </c>
      <c r="P9" s="67">
        <f>uurtarief35</f>
        <v>0</v>
      </c>
      <c r="Q9" s="64">
        <f>L9*ROUND(M9,4)/60</f>
        <v>0</v>
      </c>
      <c r="R9" s="64">
        <f>IF(ISBLANK(M9),0,Q9*ROUND(N9,2))</f>
        <v>0</v>
      </c>
      <c r="S9" s="67">
        <f t="shared" si="1"/>
        <v>0</v>
      </c>
      <c r="T9" s="64">
        <f t="shared" si="2"/>
        <v>0</v>
      </c>
      <c r="U9" s="68">
        <f t="shared" si="3"/>
        <v>0</v>
      </c>
    </row>
    <row r="10" spans="1:21" x14ac:dyDescent="0.2">
      <c r="A10" s="61" t="s">
        <v>244</v>
      </c>
      <c r="B10" s="62" t="s">
        <v>245</v>
      </c>
      <c r="C10" s="62" t="s">
        <v>250</v>
      </c>
      <c r="D10" s="62" t="s">
        <v>251</v>
      </c>
      <c r="E10" s="63" t="s">
        <v>252</v>
      </c>
      <c r="F10" s="62" t="s">
        <v>251</v>
      </c>
      <c r="G10" s="62" t="s">
        <v>226</v>
      </c>
      <c r="H10" s="62" t="s">
        <v>23</v>
      </c>
      <c r="I10" s="62" t="s">
        <v>216</v>
      </c>
      <c r="J10" s="62"/>
      <c r="K10" s="64">
        <v>4.5</v>
      </c>
      <c r="L10" s="64">
        <f t="shared" si="0"/>
        <v>0.81176470588235294</v>
      </c>
      <c r="M10" s="65"/>
      <c r="N10" s="66">
        <f>dagwerk36</f>
        <v>0</v>
      </c>
      <c r="O10" s="62" t="s">
        <v>228</v>
      </c>
      <c r="P10" s="67">
        <f>uurtarief36</f>
        <v>0</v>
      </c>
      <c r="Q10" s="64">
        <f>L10</f>
        <v>0.81176470588235294</v>
      </c>
      <c r="R10" s="64">
        <f>Q10*ROUND(N10,2)</f>
        <v>0</v>
      </c>
      <c r="S10" s="67">
        <f t="shared" si="1"/>
        <v>0</v>
      </c>
      <c r="T10" s="64">
        <f t="shared" si="2"/>
        <v>207</v>
      </c>
      <c r="U10" s="68">
        <f t="shared" si="3"/>
        <v>0</v>
      </c>
    </row>
    <row r="11" spans="1:21" x14ac:dyDescent="0.2">
      <c r="A11" s="61" t="s">
        <v>244</v>
      </c>
      <c r="B11" s="62" t="s">
        <v>253</v>
      </c>
      <c r="C11" s="62" t="s">
        <v>254</v>
      </c>
      <c r="D11" s="62" t="s">
        <v>255</v>
      </c>
      <c r="E11" s="63" t="s">
        <v>256</v>
      </c>
      <c r="F11" s="62" t="s">
        <v>257</v>
      </c>
      <c r="G11" s="62" t="s">
        <v>161</v>
      </c>
      <c r="H11" s="62" t="s">
        <v>17</v>
      </c>
      <c r="I11" s="62" t="s">
        <v>157</v>
      </c>
      <c r="J11" s="62"/>
      <c r="K11" s="64">
        <v>22</v>
      </c>
      <c r="L11" s="64">
        <f t="shared" si="0"/>
        <v>9.9215686274509807</v>
      </c>
      <c r="M11" s="65">
        <f>prodnorm42</f>
        <v>0</v>
      </c>
      <c r="N11" s="66">
        <f>dagwerk42</f>
        <v>0</v>
      </c>
      <c r="O11" s="62" t="s">
        <v>45</v>
      </c>
      <c r="P11" s="67">
        <f>uurtarief42</f>
        <v>0</v>
      </c>
      <c r="Q11" s="64" t="e">
        <f t="shared" ref="Q11:Q74" si="4">IF(ISBLANK(M11),0,L11/ROUND(M11,4))</f>
        <v>#DIV/0!</v>
      </c>
      <c r="R11" s="64" t="e">
        <f t="shared" ref="R11:R74" si="5">IF(ISBLANK(M11),0,Q11*ROUND(N11,2))</f>
        <v>#DIV/0!</v>
      </c>
      <c r="S11" s="67" t="e">
        <f t="shared" si="1"/>
        <v>#DIV/0!</v>
      </c>
      <c r="T11" s="64" t="e">
        <f t="shared" si="2"/>
        <v>#DIV/0!</v>
      </c>
      <c r="U11" s="68" t="e">
        <f t="shared" si="3"/>
        <v>#DIV/0!</v>
      </c>
    </row>
    <row r="12" spans="1:21" x14ac:dyDescent="0.2">
      <c r="A12" s="61" t="s">
        <v>244</v>
      </c>
      <c r="B12" s="62" t="s">
        <v>253</v>
      </c>
      <c r="C12" s="62" t="s">
        <v>254</v>
      </c>
      <c r="D12" s="62" t="s">
        <v>258</v>
      </c>
      <c r="E12" s="63" t="s">
        <v>259</v>
      </c>
      <c r="F12" s="62" t="s">
        <v>257</v>
      </c>
      <c r="G12" s="62" t="s">
        <v>207</v>
      </c>
      <c r="H12" s="62" t="s">
        <v>12</v>
      </c>
      <c r="I12" s="62" t="s">
        <v>157</v>
      </c>
      <c r="J12" s="62"/>
      <c r="K12" s="64">
        <v>76.7</v>
      </c>
      <c r="L12" s="64">
        <f t="shared" si="0"/>
        <v>69.180392156862752</v>
      </c>
      <c r="M12" s="65">
        <f>prodnorm86</f>
        <v>0</v>
      </c>
      <c r="N12" s="66">
        <f>dagwerk86</f>
        <v>0</v>
      </c>
      <c r="O12" s="62" t="s">
        <v>45</v>
      </c>
      <c r="P12" s="67">
        <f>uurtarief86</f>
        <v>0</v>
      </c>
      <c r="Q12" s="64" t="e">
        <f t="shared" si="4"/>
        <v>#DIV/0!</v>
      </c>
      <c r="R12" s="64" t="e">
        <f t="shared" si="5"/>
        <v>#DIV/0!</v>
      </c>
      <c r="S12" s="67" t="e">
        <f t="shared" si="1"/>
        <v>#DIV/0!</v>
      </c>
      <c r="T12" s="64" t="e">
        <f t="shared" si="2"/>
        <v>#DIV/0!</v>
      </c>
      <c r="U12" s="68" t="e">
        <f t="shared" si="3"/>
        <v>#DIV/0!</v>
      </c>
    </row>
    <row r="13" spans="1:21" x14ac:dyDescent="0.2">
      <c r="A13" s="61" t="s">
        <v>244</v>
      </c>
      <c r="B13" s="62" t="s">
        <v>253</v>
      </c>
      <c r="C13" s="62" t="s">
        <v>254</v>
      </c>
      <c r="D13" s="62" t="s">
        <v>260</v>
      </c>
      <c r="E13" s="63" t="s">
        <v>261</v>
      </c>
      <c r="F13" s="62" t="s">
        <v>257</v>
      </c>
      <c r="G13" s="62" t="s">
        <v>183</v>
      </c>
      <c r="H13" s="62" t="s">
        <v>12</v>
      </c>
      <c r="I13" s="62" t="s">
        <v>157</v>
      </c>
      <c r="J13" s="62"/>
      <c r="K13" s="64">
        <v>40</v>
      </c>
      <c r="L13" s="64">
        <f t="shared" si="0"/>
        <v>36.078431372549019</v>
      </c>
      <c r="M13" s="65">
        <f t="shared" ref="M13:M18" si="6">prodnorm65</f>
        <v>0</v>
      </c>
      <c r="N13" s="66">
        <f t="shared" ref="N13:N18" si="7">dagwerk65</f>
        <v>0</v>
      </c>
      <c r="O13" s="62" t="s">
        <v>45</v>
      </c>
      <c r="P13" s="67">
        <f t="shared" ref="P13:P18" si="8">uurtarief65</f>
        <v>0</v>
      </c>
      <c r="Q13" s="64" t="e">
        <f t="shared" si="4"/>
        <v>#DIV/0!</v>
      </c>
      <c r="R13" s="64" t="e">
        <f t="shared" si="5"/>
        <v>#DIV/0!</v>
      </c>
      <c r="S13" s="67" t="e">
        <f t="shared" si="1"/>
        <v>#DIV/0!</v>
      </c>
      <c r="T13" s="64" t="e">
        <f t="shared" si="2"/>
        <v>#DIV/0!</v>
      </c>
      <c r="U13" s="68" t="e">
        <f t="shared" si="3"/>
        <v>#DIV/0!</v>
      </c>
    </row>
    <row r="14" spans="1:21" x14ac:dyDescent="0.2">
      <c r="A14" s="61" t="s">
        <v>244</v>
      </c>
      <c r="B14" s="62" t="s">
        <v>253</v>
      </c>
      <c r="C14" s="62" t="s">
        <v>254</v>
      </c>
      <c r="D14" s="62" t="s">
        <v>262</v>
      </c>
      <c r="E14" s="63" t="s">
        <v>263</v>
      </c>
      <c r="F14" s="62" t="s">
        <v>257</v>
      </c>
      <c r="G14" s="62" t="s">
        <v>183</v>
      </c>
      <c r="H14" s="62" t="s">
        <v>12</v>
      </c>
      <c r="I14" s="62" t="s">
        <v>157</v>
      </c>
      <c r="J14" s="62"/>
      <c r="K14" s="64">
        <v>25.2</v>
      </c>
      <c r="L14" s="64">
        <f t="shared" si="0"/>
        <v>22.729411764705883</v>
      </c>
      <c r="M14" s="65">
        <f t="shared" si="6"/>
        <v>0</v>
      </c>
      <c r="N14" s="66">
        <f t="shared" si="7"/>
        <v>0</v>
      </c>
      <c r="O14" s="62" t="s">
        <v>45</v>
      </c>
      <c r="P14" s="67">
        <f t="shared" si="8"/>
        <v>0</v>
      </c>
      <c r="Q14" s="64" t="e">
        <f t="shared" si="4"/>
        <v>#DIV/0!</v>
      </c>
      <c r="R14" s="64" t="e">
        <f t="shared" si="5"/>
        <v>#DIV/0!</v>
      </c>
      <c r="S14" s="67" t="e">
        <f t="shared" si="1"/>
        <v>#DIV/0!</v>
      </c>
      <c r="T14" s="64" t="e">
        <f t="shared" si="2"/>
        <v>#DIV/0!</v>
      </c>
      <c r="U14" s="68" t="e">
        <f t="shared" si="3"/>
        <v>#DIV/0!</v>
      </c>
    </row>
    <row r="15" spans="1:21" x14ac:dyDescent="0.2">
      <c r="A15" s="61" t="s">
        <v>244</v>
      </c>
      <c r="B15" s="62" t="s">
        <v>253</v>
      </c>
      <c r="C15" s="62" t="s">
        <v>254</v>
      </c>
      <c r="D15" s="62" t="s">
        <v>264</v>
      </c>
      <c r="E15" s="63" t="s">
        <v>265</v>
      </c>
      <c r="F15" s="62" t="s">
        <v>257</v>
      </c>
      <c r="G15" s="62" t="s">
        <v>183</v>
      </c>
      <c r="H15" s="62" t="s">
        <v>12</v>
      </c>
      <c r="I15" s="62" t="s">
        <v>157</v>
      </c>
      <c r="J15" s="62"/>
      <c r="K15" s="64">
        <v>30</v>
      </c>
      <c r="L15" s="64">
        <f t="shared" si="0"/>
        <v>27.058823529411764</v>
      </c>
      <c r="M15" s="65">
        <f t="shared" si="6"/>
        <v>0</v>
      </c>
      <c r="N15" s="66">
        <f t="shared" si="7"/>
        <v>0</v>
      </c>
      <c r="O15" s="62" t="s">
        <v>45</v>
      </c>
      <c r="P15" s="67">
        <f t="shared" si="8"/>
        <v>0</v>
      </c>
      <c r="Q15" s="64" t="e">
        <f t="shared" si="4"/>
        <v>#DIV/0!</v>
      </c>
      <c r="R15" s="64" t="e">
        <f t="shared" si="5"/>
        <v>#DIV/0!</v>
      </c>
      <c r="S15" s="67" t="e">
        <f t="shared" si="1"/>
        <v>#DIV/0!</v>
      </c>
      <c r="T15" s="64" t="e">
        <f t="shared" si="2"/>
        <v>#DIV/0!</v>
      </c>
      <c r="U15" s="68" t="e">
        <f t="shared" si="3"/>
        <v>#DIV/0!</v>
      </c>
    </row>
    <row r="16" spans="1:21" x14ac:dyDescent="0.2">
      <c r="A16" s="61" t="s">
        <v>244</v>
      </c>
      <c r="B16" s="62" t="s">
        <v>253</v>
      </c>
      <c r="C16" s="62" t="s">
        <v>254</v>
      </c>
      <c r="D16" s="62" t="s">
        <v>266</v>
      </c>
      <c r="E16" s="63" t="s">
        <v>267</v>
      </c>
      <c r="F16" s="62" t="s">
        <v>257</v>
      </c>
      <c r="G16" s="62" t="s">
        <v>183</v>
      </c>
      <c r="H16" s="62" t="s">
        <v>12</v>
      </c>
      <c r="I16" s="62" t="s">
        <v>157</v>
      </c>
      <c r="J16" s="62"/>
      <c r="K16" s="64">
        <v>50</v>
      </c>
      <c r="L16" s="64">
        <f t="shared" si="0"/>
        <v>45.098039215686278</v>
      </c>
      <c r="M16" s="65">
        <f t="shared" si="6"/>
        <v>0</v>
      </c>
      <c r="N16" s="66">
        <f t="shared" si="7"/>
        <v>0</v>
      </c>
      <c r="O16" s="62" t="s">
        <v>45</v>
      </c>
      <c r="P16" s="67">
        <f t="shared" si="8"/>
        <v>0</v>
      </c>
      <c r="Q16" s="64" t="e">
        <f t="shared" si="4"/>
        <v>#DIV/0!</v>
      </c>
      <c r="R16" s="64" t="e">
        <f t="shared" si="5"/>
        <v>#DIV/0!</v>
      </c>
      <c r="S16" s="67" t="e">
        <f t="shared" si="1"/>
        <v>#DIV/0!</v>
      </c>
      <c r="T16" s="64" t="e">
        <f t="shared" si="2"/>
        <v>#DIV/0!</v>
      </c>
      <c r="U16" s="68" t="e">
        <f t="shared" si="3"/>
        <v>#DIV/0!</v>
      </c>
    </row>
    <row r="17" spans="1:21" x14ac:dyDescent="0.2">
      <c r="A17" s="61" t="s">
        <v>244</v>
      </c>
      <c r="B17" s="62" t="s">
        <v>253</v>
      </c>
      <c r="C17" s="62" t="s">
        <v>254</v>
      </c>
      <c r="D17" s="62" t="s">
        <v>268</v>
      </c>
      <c r="E17" s="63" t="s">
        <v>269</v>
      </c>
      <c r="F17" s="62" t="s">
        <v>257</v>
      </c>
      <c r="G17" s="62" t="s">
        <v>183</v>
      </c>
      <c r="H17" s="62" t="s">
        <v>12</v>
      </c>
      <c r="I17" s="62" t="s">
        <v>157</v>
      </c>
      <c r="J17" s="62"/>
      <c r="K17" s="64">
        <v>40</v>
      </c>
      <c r="L17" s="64">
        <f t="shared" si="0"/>
        <v>36.078431372549019</v>
      </c>
      <c r="M17" s="65">
        <f t="shared" si="6"/>
        <v>0</v>
      </c>
      <c r="N17" s="66">
        <f t="shared" si="7"/>
        <v>0</v>
      </c>
      <c r="O17" s="62" t="s">
        <v>45</v>
      </c>
      <c r="P17" s="67">
        <f t="shared" si="8"/>
        <v>0</v>
      </c>
      <c r="Q17" s="64" t="e">
        <f t="shared" si="4"/>
        <v>#DIV/0!</v>
      </c>
      <c r="R17" s="64" t="e">
        <f t="shared" si="5"/>
        <v>#DIV/0!</v>
      </c>
      <c r="S17" s="67" t="e">
        <f t="shared" si="1"/>
        <v>#DIV/0!</v>
      </c>
      <c r="T17" s="64" t="e">
        <f t="shared" si="2"/>
        <v>#DIV/0!</v>
      </c>
      <c r="U17" s="68" t="e">
        <f t="shared" si="3"/>
        <v>#DIV/0!</v>
      </c>
    </row>
    <row r="18" spans="1:21" x14ac:dyDescent="0.2">
      <c r="A18" s="61" t="s">
        <v>244</v>
      </c>
      <c r="B18" s="62" t="s">
        <v>253</v>
      </c>
      <c r="C18" s="62" t="s">
        <v>254</v>
      </c>
      <c r="D18" s="62" t="s">
        <v>270</v>
      </c>
      <c r="E18" s="63" t="s">
        <v>271</v>
      </c>
      <c r="F18" s="62" t="s">
        <v>257</v>
      </c>
      <c r="G18" s="62" t="s">
        <v>183</v>
      </c>
      <c r="H18" s="62" t="s">
        <v>12</v>
      </c>
      <c r="I18" s="62" t="s">
        <v>157</v>
      </c>
      <c r="J18" s="62"/>
      <c r="K18" s="64">
        <v>38</v>
      </c>
      <c r="L18" s="64">
        <f t="shared" si="0"/>
        <v>34.274509803921568</v>
      </c>
      <c r="M18" s="65">
        <f t="shared" si="6"/>
        <v>0</v>
      </c>
      <c r="N18" s="66">
        <f t="shared" si="7"/>
        <v>0</v>
      </c>
      <c r="O18" s="62" t="s">
        <v>45</v>
      </c>
      <c r="P18" s="67">
        <f t="shared" si="8"/>
        <v>0</v>
      </c>
      <c r="Q18" s="64" t="e">
        <f t="shared" si="4"/>
        <v>#DIV/0!</v>
      </c>
      <c r="R18" s="64" t="e">
        <f t="shared" si="5"/>
        <v>#DIV/0!</v>
      </c>
      <c r="S18" s="67" t="e">
        <f t="shared" si="1"/>
        <v>#DIV/0!</v>
      </c>
      <c r="T18" s="64" t="e">
        <f t="shared" si="2"/>
        <v>#DIV/0!</v>
      </c>
      <c r="U18" s="68" t="e">
        <f t="shared" si="3"/>
        <v>#DIV/0!</v>
      </c>
    </row>
    <row r="19" spans="1:21" x14ac:dyDescent="0.2">
      <c r="A19" s="61" t="s">
        <v>244</v>
      </c>
      <c r="B19" s="62" t="s">
        <v>253</v>
      </c>
      <c r="C19" s="62" t="s">
        <v>254</v>
      </c>
      <c r="D19" s="62" t="s">
        <v>272</v>
      </c>
      <c r="E19" s="63" t="s">
        <v>273</v>
      </c>
      <c r="F19" s="62" t="s">
        <v>257</v>
      </c>
      <c r="G19" s="62" t="s">
        <v>161</v>
      </c>
      <c r="H19" s="62" t="s">
        <v>17</v>
      </c>
      <c r="I19" s="62" t="s">
        <v>157</v>
      </c>
      <c r="J19" s="62"/>
      <c r="K19" s="64">
        <v>45.2</v>
      </c>
      <c r="L19" s="64">
        <f t="shared" si="0"/>
        <v>20.384313725490198</v>
      </c>
      <c r="M19" s="65">
        <f>prodnorm42</f>
        <v>0</v>
      </c>
      <c r="N19" s="66">
        <f>dagwerk42</f>
        <v>0</v>
      </c>
      <c r="O19" s="62" t="s">
        <v>45</v>
      </c>
      <c r="P19" s="67">
        <f>uurtarief42</f>
        <v>0</v>
      </c>
      <c r="Q19" s="64" t="e">
        <f t="shared" si="4"/>
        <v>#DIV/0!</v>
      </c>
      <c r="R19" s="64" t="e">
        <f t="shared" si="5"/>
        <v>#DIV/0!</v>
      </c>
      <c r="S19" s="67" t="e">
        <f t="shared" si="1"/>
        <v>#DIV/0!</v>
      </c>
      <c r="T19" s="64" t="e">
        <f t="shared" si="2"/>
        <v>#DIV/0!</v>
      </c>
      <c r="U19" s="68" t="e">
        <f t="shared" si="3"/>
        <v>#DIV/0!</v>
      </c>
    </row>
    <row r="20" spans="1:21" x14ac:dyDescent="0.2">
      <c r="A20" s="61" t="s">
        <v>244</v>
      </c>
      <c r="B20" s="62" t="s">
        <v>253</v>
      </c>
      <c r="C20" s="62" t="s">
        <v>254</v>
      </c>
      <c r="D20" s="62" t="s">
        <v>274</v>
      </c>
      <c r="E20" s="63" t="s">
        <v>275</v>
      </c>
      <c r="F20" s="62" t="s">
        <v>257</v>
      </c>
      <c r="G20" s="62" t="s">
        <v>183</v>
      </c>
      <c r="H20" s="62" t="s">
        <v>12</v>
      </c>
      <c r="I20" s="62" t="s">
        <v>157</v>
      </c>
      <c r="J20" s="62"/>
      <c r="K20" s="64">
        <v>56</v>
      </c>
      <c r="L20" s="64">
        <f t="shared" si="0"/>
        <v>50.509803921568626</v>
      </c>
      <c r="M20" s="65">
        <f>prodnorm65</f>
        <v>0</v>
      </c>
      <c r="N20" s="66">
        <f>dagwerk65</f>
        <v>0</v>
      </c>
      <c r="O20" s="62" t="s">
        <v>45</v>
      </c>
      <c r="P20" s="67">
        <f>uurtarief65</f>
        <v>0</v>
      </c>
      <c r="Q20" s="64" t="e">
        <f t="shared" si="4"/>
        <v>#DIV/0!</v>
      </c>
      <c r="R20" s="64" t="e">
        <f t="shared" si="5"/>
        <v>#DIV/0!</v>
      </c>
      <c r="S20" s="67" t="e">
        <f t="shared" si="1"/>
        <v>#DIV/0!</v>
      </c>
      <c r="T20" s="64" t="e">
        <f t="shared" si="2"/>
        <v>#DIV/0!</v>
      </c>
      <c r="U20" s="68" t="e">
        <f t="shared" si="3"/>
        <v>#DIV/0!</v>
      </c>
    </row>
    <row r="21" spans="1:21" x14ac:dyDescent="0.2">
      <c r="A21" s="61" t="s">
        <v>244</v>
      </c>
      <c r="B21" s="62" t="s">
        <v>253</v>
      </c>
      <c r="C21" s="62" t="s">
        <v>254</v>
      </c>
      <c r="D21" s="62" t="s">
        <v>276</v>
      </c>
      <c r="E21" s="63" t="s">
        <v>277</v>
      </c>
      <c r="F21" s="62" t="s">
        <v>257</v>
      </c>
      <c r="G21" s="62" t="s">
        <v>183</v>
      </c>
      <c r="H21" s="62" t="s">
        <v>12</v>
      </c>
      <c r="I21" s="62" t="s">
        <v>157</v>
      </c>
      <c r="J21" s="62"/>
      <c r="K21" s="64">
        <v>56.2</v>
      </c>
      <c r="L21" s="64">
        <f t="shared" si="0"/>
        <v>50.690196078431377</v>
      </c>
      <c r="M21" s="65">
        <f>prodnorm65</f>
        <v>0</v>
      </c>
      <c r="N21" s="66">
        <f>dagwerk65</f>
        <v>0</v>
      </c>
      <c r="O21" s="62" t="s">
        <v>45</v>
      </c>
      <c r="P21" s="67">
        <f>uurtarief65</f>
        <v>0</v>
      </c>
      <c r="Q21" s="64" t="e">
        <f t="shared" si="4"/>
        <v>#DIV/0!</v>
      </c>
      <c r="R21" s="64" t="e">
        <f t="shared" si="5"/>
        <v>#DIV/0!</v>
      </c>
      <c r="S21" s="67" t="e">
        <f t="shared" si="1"/>
        <v>#DIV/0!</v>
      </c>
      <c r="T21" s="64" t="e">
        <f t="shared" si="2"/>
        <v>#DIV/0!</v>
      </c>
      <c r="U21" s="68" t="e">
        <f t="shared" si="3"/>
        <v>#DIV/0!</v>
      </c>
    </row>
    <row r="22" spans="1:21" x14ac:dyDescent="0.2">
      <c r="A22" s="61" t="s">
        <v>244</v>
      </c>
      <c r="B22" s="62" t="s">
        <v>253</v>
      </c>
      <c r="C22" s="62" t="s">
        <v>254</v>
      </c>
      <c r="D22" s="62" t="s">
        <v>278</v>
      </c>
      <c r="E22" s="63" t="s">
        <v>279</v>
      </c>
      <c r="F22" s="62" t="s">
        <v>257</v>
      </c>
      <c r="G22" s="62" t="s">
        <v>207</v>
      </c>
      <c r="H22" s="62" t="s">
        <v>12</v>
      </c>
      <c r="I22" s="62" t="s">
        <v>157</v>
      </c>
      <c r="J22" s="62"/>
      <c r="K22" s="64">
        <v>70.099999999999994</v>
      </c>
      <c r="L22" s="64">
        <f t="shared" si="0"/>
        <v>63.227450980392156</v>
      </c>
      <c r="M22" s="65">
        <f>prodnorm86</f>
        <v>0</v>
      </c>
      <c r="N22" s="66">
        <f>dagwerk86</f>
        <v>0</v>
      </c>
      <c r="O22" s="62" t="s">
        <v>45</v>
      </c>
      <c r="P22" s="67">
        <f>uurtarief86</f>
        <v>0</v>
      </c>
      <c r="Q22" s="64" t="e">
        <f t="shared" si="4"/>
        <v>#DIV/0!</v>
      </c>
      <c r="R22" s="64" t="e">
        <f t="shared" si="5"/>
        <v>#DIV/0!</v>
      </c>
      <c r="S22" s="67" t="e">
        <f t="shared" si="1"/>
        <v>#DIV/0!</v>
      </c>
      <c r="T22" s="64" t="e">
        <f t="shared" si="2"/>
        <v>#DIV/0!</v>
      </c>
      <c r="U22" s="68" t="e">
        <f t="shared" si="3"/>
        <v>#DIV/0!</v>
      </c>
    </row>
    <row r="23" spans="1:21" x14ac:dyDescent="0.2">
      <c r="A23" s="61" t="s">
        <v>244</v>
      </c>
      <c r="B23" s="62" t="s">
        <v>253</v>
      </c>
      <c r="C23" s="62" t="s">
        <v>254</v>
      </c>
      <c r="D23" s="62" t="s">
        <v>280</v>
      </c>
      <c r="E23" s="63" t="s">
        <v>281</v>
      </c>
      <c r="F23" s="62" t="s">
        <v>257</v>
      </c>
      <c r="G23" s="62" t="s">
        <v>183</v>
      </c>
      <c r="H23" s="62" t="s">
        <v>12</v>
      </c>
      <c r="I23" s="62" t="s">
        <v>157</v>
      </c>
      <c r="J23" s="62"/>
      <c r="K23" s="64">
        <v>58</v>
      </c>
      <c r="L23" s="64">
        <f t="shared" si="0"/>
        <v>52.313725490196077</v>
      </c>
      <c r="M23" s="65">
        <f>prodnorm65</f>
        <v>0</v>
      </c>
      <c r="N23" s="66">
        <f>dagwerk65</f>
        <v>0</v>
      </c>
      <c r="O23" s="62" t="s">
        <v>45</v>
      </c>
      <c r="P23" s="67">
        <f>uurtarief65</f>
        <v>0</v>
      </c>
      <c r="Q23" s="64" t="e">
        <f t="shared" si="4"/>
        <v>#DIV/0!</v>
      </c>
      <c r="R23" s="64" t="e">
        <f t="shared" si="5"/>
        <v>#DIV/0!</v>
      </c>
      <c r="S23" s="67" t="e">
        <f t="shared" si="1"/>
        <v>#DIV/0!</v>
      </c>
      <c r="T23" s="64" t="e">
        <f t="shared" si="2"/>
        <v>#DIV/0!</v>
      </c>
      <c r="U23" s="68" t="e">
        <f t="shared" si="3"/>
        <v>#DIV/0!</v>
      </c>
    </row>
    <row r="24" spans="1:21" x14ac:dyDescent="0.2">
      <c r="A24" s="61" t="s">
        <v>244</v>
      </c>
      <c r="B24" s="62" t="s">
        <v>253</v>
      </c>
      <c r="C24" s="62" t="s">
        <v>254</v>
      </c>
      <c r="D24" s="62" t="s">
        <v>282</v>
      </c>
      <c r="E24" s="63" t="s">
        <v>283</v>
      </c>
      <c r="F24" s="62" t="s">
        <v>257</v>
      </c>
      <c r="G24" s="62" t="s">
        <v>207</v>
      </c>
      <c r="H24" s="62" t="s">
        <v>12</v>
      </c>
      <c r="I24" s="62" t="s">
        <v>157</v>
      </c>
      <c r="J24" s="62"/>
      <c r="K24" s="64">
        <v>163.80000000000001</v>
      </c>
      <c r="L24" s="64">
        <f t="shared" si="0"/>
        <v>147.74117647058824</v>
      </c>
      <c r="M24" s="65">
        <f>prodnorm86</f>
        <v>0</v>
      </c>
      <c r="N24" s="66">
        <f>dagwerk86</f>
        <v>0</v>
      </c>
      <c r="O24" s="62" t="s">
        <v>45</v>
      </c>
      <c r="P24" s="67">
        <f>uurtarief86</f>
        <v>0</v>
      </c>
      <c r="Q24" s="64" t="e">
        <f t="shared" si="4"/>
        <v>#DIV/0!</v>
      </c>
      <c r="R24" s="64" t="e">
        <f t="shared" si="5"/>
        <v>#DIV/0!</v>
      </c>
      <c r="S24" s="67" t="e">
        <f t="shared" si="1"/>
        <v>#DIV/0!</v>
      </c>
      <c r="T24" s="64" t="e">
        <f t="shared" si="2"/>
        <v>#DIV/0!</v>
      </c>
      <c r="U24" s="68" t="e">
        <f t="shared" si="3"/>
        <v>#DIV/0!</v>
      </c>
    </row>
    <row r="25" spans="1:21" x14ac:dyDescent="0.2">
      <c r="A25" s="61" t="s">
        <v>244</v>
      </c>
      <c r="B25" s="62" t="s">
        <v>253</v>
      </c>
      <c r="C25" s="62" t="s">
        <v>254</v>
      </c>
      <c r="D25" s="62" t="s">
        <v>284</v>
      </c>
      <c r="E25" s="63" t="s">
        <v>285</v>
      </c>
      <c r="F25" s="62" t="s">
        <v>286</v>
      </c>
      <c r="G25" s="62" t="s">
        <v>156</v>
      </c>
      <c r="H25" s="62" t="s">
        <v>31</v>
      </c>
      <c r="I25" s="62" t="s">
        <v>157</v>
      </c>
      <c r="J25" s="62"/>
      <c r="K25" s="64">
        <v>134.80000000000001</v>
      </c>
      <c r="L25" s="64">
        <f t="shared" si="0"/>
        <v>1.0572549019607844</v>
      </c>
      <c r="M25" s="65">
        <f>prodnorm39</f>
        <v>0</v>
      </c>
      <c r="N25" s="66">
        <f>dagwerk39</f>
        <v>0</v>
      </c>
      <c r="O25" s="62" t="s">
        <v>45</v>
      </c>
      <c r="P25" s="67">
        <f>uurtarief39</f>
        <v>0</v>
      </c>
      <c r="Q25" s="64" t="e">
        <f t="shared" si="4"/>
        <v>#DIV/0!</v>
      </c>
      <c r="R25" s="64" t="e">
        <f t="shared" si="5"/>
        <v>#DIV/0!</v>
      </c>
      <c r="S25" s="67" t="e">
        <f t="shared" si="1"/>
        <v>#DIV/0!</v>
      </c>
      <c r="T25" s="64" t="e">
        <f t="shared" si="2"/>
        <v>#DIV/0!</v>
      </c>
      <c r="U25" s="68" t="e">
        <f t="shared" si="3"/>
        <v>#DIV/0!</v>
      </c>
    </row>
    <row r="26" spans="1:21" x14ac:dyDescent="0.2">
      <c r="A26" s="61" t="s">
        <v>244</v>
      </c>
      <c r="B26" s="62" t="s">
        <v>253</v>
      </c>
      <c r="C26" s="62" t="s">
        <v>254</v>
      </c>
      <c r="D26" s="62" t="s">
        <v>287</v>
      </c>
      <c r="E26" s="63" t="s">
        <v>288</v>
      </c>
      <c r="F26" s="62" t="s">
        <v>289</v>
      </c>
      <c r="G26" s="62" t="s">
        <v>205</v>
      </c>
      <c r="H26" s="62" t="s">
        <v>22</v>
      </c>
      <c r="I26" s="62" t="s">
        <v>157</v>
      </c>
      <c r="J26" s="62"/>
      <c r="K26" s="64">
        <v>11.8</v>
      </c>
      <c r="L26" s="64">
        <f t="shared" si="0"/>
        <v>2.3600000000000003</v>
      </c>
      <c r="M26" s="65">
        <f>prodnorm83</f>
        <v>0</v>
      </c>
      <c r="N26" s="66">
        <f>dagwerk83</f>
        <v>0</v>
      </c>
      <c r="O26" s="62" t="s">
        <v>45</v>
      </c>
      <c r="P26" s="67">
        <f>uurtarief83</f>
        <v>0</v>
      </c>
      <c r="Q26" s="64" t="e">
        <f t="shared" si="4"/>
        <v>#DIV/0!</v>
      </c>
      <c r="R26" s="64" t="e">
        <f t="shared" si="5"/>
        <v>#DIV/0!</v>
      </c>
      <c r="S26" s="67" t="e">
        <f t="shared" si="1"/>
        <v>#DIV/0!</v>
      </c>
      <c r="T26" s="64" t="e">
        <f t="shared" si="2"/>
        <v>#DIV/0!</v>
      </c>
      <c r="U26" s="68" t="e">
        <f t="shared" si="3"/>
        <v>#DIV/0!</v>
      </c>
    </row>
    <row r="27" spans="1:21" ht="25.5" x14ac:dyDescent="0.2">
      <c r="A27" s="61" t="s">
        <v>244</v>
      </c>
      <c r="B27" s="62" t="s">
        <v>253</v>
      </c>
      <c r="C27" s="62" t="s">
        <v>254</v>
      </c>
      <c r="D27" s="62" t="s">
        <v>290</v>
      </c>
      <c r="E27" s="63" t="s">
        <v>291</v>
      </c>
      <c r="F27" s="62" t="s">
        <v>249</v>
      </c>
      <c r="G27" s="62" t="s">
        <v>201</v>
      </c>
      <c r="H27" s="62" t="s">
        <v>12</v>
      </c>
      <c r="I27" s="62" t="s">
        <v>157</v>
      </c>
      <c r="J27" s="62"/>
      <c r="K27" s="64">
        <v>9.1999999999999993</v>
      </c>
      <c r="L27" s="64">
        <f t="shared" si="0"/>
        <v>8.2980392156862735</v>
      </c>
      <c r="M27" s="65">
        <f>prodnorm77</f>
        <v>0</v>
      </c>
      <c r="N27" s="66">
        <f>dagwerk77</f>
        <v>0</v>
      </c>
      <c r="O27" s="62" t="s">
        <v>45</v>
      </c>
      <c r="P27" s="67">
        <f>uurtarief77</f>
        <v>0</v>
      </c>
      <c r="Q27" s="64" t="e">
        <f t="shared" si="4"/>
        <v>#DIV/0!</v>
      </c>
      <c r="R27" s="64" t="e">
        <f t="shared" si="5"/>
        <v>#DIV/0!</v>
      </c>
      <c r="S27" s="67" t="e">
        <f t="shared" si="1"/>
        <v>#DIV/0!</v>
      </c>
      <c r="T27" s="64" t="e">
        <f t="shared" si="2"/>
        <v>#DIV/0!</v>
      </c>
      <c r="U27" s="68" t="e">
        <f t="shared" si="3"/>
        <v>#DIV/0!</v>
      </c>
    </row>
    <row r="28" spans="1:21" ht="25.5" x14ac:dyDescent="0.2">
      <c r="A28" s="61" t="s">
        <v>244</v>
      </c>
      <c r="B28" s="62" t="s">
        <v>253</v>
      </c>
      <c r="C28" s="62" t="s">
        <v>254</v>
      </c>
      <c r="D28" s="62" t="s">
        <v>292</v>
      </c>
      <c r="E28" s="63" t="s">
        <v>293</v>
      </c>
      <c r="F28" s="62" t="s">
        <v>249</v>
      </c>
      <c r="G28" s="62" t="s">
        <v>201</v>
      </c>
      <c r="H28" s="62" t="s">
        <v>12</v>
      </c>
      <c r="I28" s="62" t="s">
        <v>157</v>
      </c>
      <c r="J28" s="62"/>
      <c r="K28" s="64">
        <v>9.1999999999999993</v>
      </c>
      <c r="L28" s="64">
        <f t="shared" si="0"/>
        <v>8.2980392156862735</v>
      </c>
      <c r="M28" s="65">
        <f>prodnorm77</f>
        <v>0</v>
      </c>
      <c r="N28" s="66">
        <f>dagwerk77</f>
        <v>0</v>
      </c>
      <c r="O28" s="62" t="s">
        <v>45</v>
      </c>
      <c r="P28" s="67">
        <f>uurtarief77</f>
        <v>0</v>
      </c>
      <c r="Q28" s="64" t="e">
        <f t="shared" si="4"/>
        <v>#DIV/0!</v>
      </c>
      <c r="R28" s="64" t="e">
        <f t="shared" si="5"/>
        <v>#DIV/0!</v>
      </c>
      <c r="S28" s="67" t="e">
        <f t="shared" si="1"/>
        <v>#DIV/0!</v>
      </c>
      <c r="T28" s="64" t="e">
        <f t="shared" si="2"/>
        <v>#DIV/0!</v>
      </c>
      <c r="U28" s="68" t="e">
        <f t="shared" si="3"/>
        <v>#DIV/0!</v>
      </c>
    </row>
    <row r="29" spans="1:21" ht="25.5" x14ac:dyDescent="0.2">
      <c r="A29" s="61" t="s">
        <v>244</v>
      </c>
      <c r="B29" s="62" t="s">
        <v>253</v>
      </c>
      <c r="C29" s="62" t="s">
        <v>254</v>
      </c>
      <c r="D29" s="62" t="s">
        <v>294</v>
      </c>
      <c r="E29" s="63" t="s">
        <v>295</v>
      </c>
      <c r="F29" s="62" t="s">
        <v>249</v>
      </c>
      <c r="G29" s="62" t="s">
        <v>201</v>
      </c>
      <c r="H29" s="62" t="s">
        <v>12</v>
      </c>
      <c r="I29" s="62" t="s">
        <v>157</v>
      </c>
      <c r="J29" s="62"/>
      <c r="K29" s="64">
        <v>5.9</v>
      </c>
      <c r="L29" s="64">
        <f t="shared" si="0"/>
        <v>5.321568627450981</v>
      </c>
      <c r="M29" s="65">
        <f>prodnorm77</f>
        <v>0</v>
      </c>
      <c r="N29" s="66">
        <f>dagwerk77</f>
        <v>0</v>
      </c>
      <c r="O29" s="62" t="s">
        <v>45</v>
      </c>
      <c r="P29" s="67">
        <f>uurtarief77</f>
        <v>0</v>
      </c>
      <c r="Q29" s="64" t="e">
        <f t="shared" si="4"/>
        <v>#DIV/0!</v>
      </c>
      <c r="R29" s="64" t="e">
        <f t="shared" si="5"/>
        <v>#DIV/0!</v>
      </c>
      <c r="S29" s="67" t="e">
        <f t="shared" si="1"/>
        <v>#DIV/0!</v>
      </c>
      <c r="T29" s="64" t="e">
        <f t="shared" si="2"/>
        <v>#DIV/0!</v>
      </c>
      <c r="U29" s="68" t="e">
        <f t="shared" si="3"/>
        <v>#DIV/0!</v>
      </c>
    </row>
    <row r="30" spans="1:21" ht="25.5" x14ac:dyDescent="0.2">
      <c r="A30" s="61" t="s">
        <v>244</v>
      </c>
      <c r="B30" s="62" t="s">
        <v>253</v>
      </c>
      <c r="C30" s="62" t="s">
        <v>254</v>
      </c>
      <c r="D30" s="62" t="s">
        <v>296</v>
      </c>
      <c r="E30" s="63" t="s">
        <v>297</v>
      </c>
      <c r="F30" s="62" t="s">
        <v>249</v>
      </c>
      <c r="G30" s="62" t="s">
        <v>169</v>
      </c>
      <c r="H30" s="62" t="s">
        <v>12</v>
      </c>
      <c r="I30" s="62" t="s">
        <v>157</v>
      </c>
      <c r="J30" s="62"/>
      <c r="K30" s="64">
        <v>21</v>
      </c>
      <c r="L30" s="64">
        <f t="shared" si="0"/>
        <v>18.941176470588236</v>
      </c>
      <c r="M30" s="65">
        <f>prodnorm54</f>
        <v>0</v>
      </c>
      <c r="N30" s="66">
        <f>dagwerk54</f>
        <v>0</v>
      </c>
      <c r="O30" s="62" t="s">
        <v>45</v>
      </c>
      <c r="P30" s="67">
        <f>uurtarief54</f>
        <v>0</v>
      </c>
      <c r="Q30" s="64" t="e">
        <f t="shared" si="4"/>
        <v>#DIV/0!</v>
      </c>
      <c r="R30" s="64" t="e">
        <f t="shared" si="5"/>
        <v>#DIV/0!</v>
      </c>
      <c r="S30" s="67" t="e">
        <f t="shared" si="1"/>
        <v>#DIV/0!</v>
      </c>
      <c r="T30" s="64" t="e">
        <f t="shared" si="2"/>
        <v>#DIV/0!</v>
      </c>
      <c r="U30" s="68" t="e">
        <f t="shared" si="3"/>
        <v>#DIV/0!</v>
      </c>
    </row>
    <row r="31" spans="1:21" ht="25.5" x14ac:dyDescent="0.2">
      <c r="A31" s="61" t="s">
        <v>244</v>
      </c>
      <c r="B31" s="62" t="s">
        <v>253</v>
      </c>
      <c r="C31" s="62" t="s">
        <v>254</v>
      </c>
      <c r="D31" s="62" t="s">
        <v>298</v>
      </c>
      <c r="E31" s="63" t="s">
        <v>299</v>
      </c>
      <c r="F31" s="62" t="s">
        <v>249</v>
      </c>
      <c r="G31" s="62" t="s">
        <v>169</v>
      </c>
      <c r="H31" s="62" t="s">
        <v>12</v>
      </c>
      <c r="I31" s="62" t="s">
        <v>157</v>
      </c>
      <c r="J31" s="62"/>
      <c r="K31" s="64">
        <v>21</v>
      </c>
      <c r="L31" s="64">
        <f t="shared" si="0"/>
        <v>18.941176470588236</v>
      </c>
      <c r="M31" s="65">
        <f>prodnorm54</f>
        <v>0</v>
      </c>
      <c r="N31" s="66">
        <f>dagwerk54</f>
        <v>0</v>
      </c>
      <c r="O31" s="62" t="s">
        <v>45</v>
      </c>
      <c r="P31" s="67">
        <f>uurtarief54</f>
        <v>0</v>
      </c>
      <c r="Q31" s="64" t="e">
        <f t="shared" si="4"/>
        <v>#DIV/0!</v>
      </c>
      <c r="R31" s="64" t="e">
        <f t="shared" si="5"/>
        <v>#DIV/0!</v>
      </c>
      <c r="S31" s="67" t="e">
        <f t="shared" si="1"/>
        <v>#DIV/0!</v>
      </c>
      <c r="T31" s="64" t="e">
        <f t="shared" si="2"/>
        <v>#DIV/0!</v>
      </c>
      <c r="U31" s="68" t="e">
        <f t="shared" si="3"/>
        <v>#DIV/0!</v>
      </c>
    </row>
    <row r="32" spans="1:21" x14ac:dyDescent="0.2">
      <c r="A32" s="61" t="s">
        <v>244</v>
      </c>
      <c r="B32" s="62" t="s">
        <v>253</v>
      </c>
      <c r="C32" s="62" t="s">
        <v>254</v>
      </c>
      <c r="D32" s="62" t="s">
        <v>300</v>
      </c>
      <c r="E32" s="63" t="s">
        <v>301</v>
      </c>
      <c r="F32" s="62" t="s">
        <v>249</v>
      </c>
      <c r="G32" s="62" t="s">
        <v>201</v>
      </c>
      <c r="H32" s="62" t="s">
        <v>12</v>
      </c>
      <c r="I32" s="62" t="s">
        <v>157</v>
      </c>
      <c r="J32" s="62"/>
      <c r="K32" s="64">
        <v>8</v>
      </c>
      <c r="L32" s="64">
        <f t="shared" si="0"/>
        <v>7.215686274509804</v>
      </c>
      <c r="M32" s="65">
        <f>prodnorm77</f>
        <v>0</v>
      </c>
      <c r="N32" s="66">
        <f>dagwerk77</f>
        <v>0</v>
      </c>
      <c r="O32" s="62" t="s">
        <v>45</v>
      </c>
      <c r="P32" s="67">
        <f>uurtarief77</f>
        <v>0</v>
      </c>
      <c r="Q32" s="64" t="e">
        <f t="shared" si="4"/>
        <v>#DIV/0!</v>
      </c>
      <c r="R32" s="64" t="e">
        <f t="shared" si="5"/>
        <v>#DIV/0!</v>
      </c>
      <c r="S32" s="67" t="e">
        <f t="shared" si="1"/>
        <v>#DIV/0!</v>
      </c>
      <c r="T32" s="64" t="e">
        <f t="shared" si="2"/>
        <v>#DIV/0!</v>
      </c>
      <c r="U32" s="68" t="e">
        <f t="shared" si="3"/>
        <v>#DIV/0!</v>
      </c>
    </row>
    <row r="33" spans="1:21" x14ac:dyDescent="0.2">
      <c r="A33" s="61" t="s">
        <v>244</v>
      </c>
      <c r="B33" s="62" t="s">
        <v>253</v>
      </c>
      <c r="C33" s="62" t="s">
        <v>254</v>
      </c>
      <c r="D33" s="62" t="s">
        <v>300</v>
      </c>
      <c r="E33" s="63" t="s">
        <v>302</v>
      </c>
      <c r="F33" s="62" t="s">
        <v>249</v>
      </c>
      <c r="G33" s="62" t="s">
        <v>201</v>
      </c>
      <c r="H33" s="62" t="s">
        <v>12</v>
      </c>
      <c r="I33" s="62" t="s">
        <v>157</v>
      </c>
      <c r="J33" s="62"/>
      <c r="K33" s="64">
        <v>8</v>
      </c>
      <c r="L33" s="64">
        <f t="shared" si="0"/>
        <v>7.215686274509804</v>
      </c>
      <c r="M33" s="65">
        <f>prodnorm77</f>
        <v>0</v>
      </c>
      <c r="N33" s="66">
        <f>dagwerk77</f>
        <v>0</v>
      </c>
      <c r="O33" s="62" t="s">
        <v>45</v>
      </c>
      <c r="P33" s="67">
        <f>uurtarief77</f>
        <v>0</v>
      </c>
      <c r="Q33" s="64" t="e">
        <f t="shared" si="4"/>
        <v>#DIV/0!</v>
      </c>
      <c r="R33" s="64" t="e">
        <f t="shared" si="5"/>
        <v>#DIV/0!</v>
      </c>
      <c r="S33" s="67" t="e">
        <f t="shared" si="1"/>
        <v>#DIV/0!</v>
      </c>
      <c r="T33" s="64" t="e">
        <f t="shared" si="2"/>
        <v>#DIV/0!</v>
      </c>
      <c r="U33" s="68" t="e">
        <f t="shared" si="3"/>
        <v>#DIV/0!</v>
      </c>
    </row>
    <row r="34" spans="1:21" x14ac:dyDescent="0.2">
      <c r="A34" s="61" t="s">
        <v>244</v>
      </c>
      <c r="B34" s="62" t="s">
        <v>253</v>
      </c>
      <c r="C34" s="62" t="s">
        <v>254</v>
      </c>
      <c r="D34" s="62" t="s">
        <v>303</v>
      </c>
      <c r="E34" s="63" t="s">
        <v>304</v>
      </c>
      <c r="F34" s="62" t="s">
        <v>257</v>
      </c>
      <c r="G34" s="62" t="s">
        <v>207</v>
      </c>
      <c r="H34" s="62" t="s">
        <v>12</v>
      </c>
      <c r="I34" s="62" t="s">
        <v>157</v>
      </c>
      <c r="J34" s="62"/>
      <c r="K34" s="64">
        <v>89.5</v>
      </c>
      <c r="L34" s="64">
        <f t="shared" si="0"/>
        <v>80.725490196078439</v>
      </c>
      <c r="M34" s="65">
        <f>prodnorm86</f>
        <v>0</v>
      </c>
      <c r="N34" s="66">
        <f>dagwerk86</f>
        <v>0</v>
      </c>
      <c r="O34" s="62" t="s">
        <v>45</v>
      </c>
      <c r="P34" s="67">
        <f>uurtarief86</f>
        <v>0</v>
      </c>
      <c r="Q34" s="64" t="e">
        <f t="shared" si="4"/>
        <v>#DIV/0!</v>
      </c>
      <c r="R34" s="64" t="e">
        <f t="shared" si="5"/>
        <v>#DIV/0!</v>
      </c>
      <c r="S34" s="67" t="e">
        <f t="shared" si="1"/>
        <v>#DIV/0!</v>
      </c>
      <c r="T34" s="64" t="e">
        <f t="shared" si="2"/>
        <v>#DIV/0!</v>
      </c>
      <c r="U34" s="68" t="e">
        <f t="shared" si="3"/>
        <v>#DIV/0!</v>
      </c>
    </row>
    <row r="35" spans="1:21" x14ac:dyDescent="0.2">
      <c r="A35" s="61" t="s">
        <v>244</v>
      </c>
      <c r="B35" s="62" t="s">
        <v>253</v>
      </c>
      <c r="C35" s="62" t="s">
        <v>254</v>
      </c>
      <c r="D35" s="62" t="s">
        <v>305</v>
      </c>
      <c r="E35" s="63" t="s">
        <v>306</v>
      </c>
      <c r="F35" s="62" t="s">
        <v>289</v>
      </c>
      <c r="G35" s="62" t="s">
        <v>205</v>
      </c>
      <c r="H35" s="62" t="s">
        <v>22</v>
      </c>
      <c r="I35" s="62" t="s">
        <v>157</v>
      </c>
      <c r="J35" s="62"/>
      <c r="K35" s="64">
        <v>6.4</v>
      </c>
      <c r="L35" s="64">
        <f t="shared" si="0"/>
        <v>1.2800000000000002</v>
      </c>
      <c r="M35" s="65">
        <f>prodnorm83</f>
        <v>0</v>
      </c>
      <c r="N35" s="66">
        <f>dagwerk83</f>
        <v>0</v>
      </c>
      <c r="O35" s="62" t="s">
        <v>45</v>
      </c>
      <c r="P35" s="67">
        <f>uurtarief83</f>
        <v>0</v>
      </c>
      <c r="Q35" s="64" t="e">
        <f t="shared" si="4"/>
        <v>#DIV/0!</v>
      </c>
      <c r="R35" s="64" t="e">
        <f t="shared" si="5"/>
        <v>#DIV/0!</v>
      </c>
      <c r="S35" s="67" t="e">
        <f t="shared" si="1"/>
        <v>#DIV/0!</v>
      </c>
      <c r="T35" s="64" t="e">
        <f t="shared" si="2"/>
        <v>#DIV/0!</v>
      </c>
      <c r="U35" s="68" t="e">
        <f t="shared" si="3"/>
        <v>#DIV/0!</v>
      </c>
    </row>
    <row r="36" spans="1:21" x14ac:dyDescent="0.2">
      <c r="A36" s="61" t="s">
        <v>244</v>
      </c>
      <c r="B36" s="62" t="s">
        <v>253</v>
      </c>
      <c r="C36" s="62" t="s">
        <v>254</v>
      </c>
      <c r="D36" s="62" t="s">
        <v>307</v>
      </c>
      <c r="E36" s="63" t="s">
        <v>308</v>
      </c>
      <c r="F36" s="62" t="s">
        <v>257</v>
      </c>
      <c r="G36" s="62" t="s">
        <v>207</v>
      </c>
      <c r="H36" s="62" t="s">
        <v>11</v>
      </c>
      <c r="I36" s="62" t="s">
        <v>157</v>
      </c>
      <c r="J36" s="62"/>
      <c r="K36" s="64">
        <v>97.2</v>
      </c>
      <c r="L36" s="64">
        <f t="shared" si="0"/>
        <v>97.2</v>
      </c>
      <c r="M36" s="65">
        <f>prodnorm87</f>
        <v>0</v>
      </c>
      <c r="N36" s="66">
        <f>dagwerk87</f>
        <v>0</v>
      </c>
      <c r="O36" s="62" t="s">
        <v>45</v>
      </c>
      <c r="P36" s="67">
        <f>uurtarief87</f>
        <v>0</v>
      </c>
      <c r="Q36" s="64" t="e">
        <f t="shared" si="4"/>
        <v>#DIV/0!</v>
      </c>
      <c r="R36" s="64" t="e">
        <f t="shared" si="5"/>
        <v>#DIV/0!</v>
      </c>
      <c r="S36" s="67" t="e">
        <f t="shared" si="1"/>
        <v>#DIV/0!</v>
      </c>
      <c r="T36" s="64" t="e">
        <f t="shared" si="2"/>
        <v>#DIV/0!</v>
      </c>
      <c r="U36" s="68" t="e">
        <f t="shared" si="3"/>
        <v>#DIV/0!</v>
      </c>
    </row>
    <row r="37" spans="1:21" x14ac:dyDescent="0.2">
      <c r="A37" s="61" t="s">
        <v>244</v>
      </c>
      <c r="B37" s="62" t="s">
        <v>253</v>
      </c>
      <c r="C37" s="62" t="s">
        <v>254</v>
      </c>
      <c r="D37" s="62" t="s">
        <v>309</v>
      </c>
      <c r="E37" s="63" t="s">
        <v>310</v>
      </c>
      <c r="F37" s="62" t="s">
        <v>257</v>
      </c>
      <c r="G37" s="62" t="s">
        <v>207</v>
      </c>
      <c r="H37" s="62" t="s">
        <v>11</v>
      </c>
      <c r="I37" s="62" t="s">
        <v>157</v>
      </c>
      <c r="J37" s="62"/>
      <c r="K37" s="64">
        <v>54</v>
      </c>
      <c r="L37" s="64">
        <f t="shared" si="0"/>
        <v>54</v>
      </c>
      <c r="M37" s="65">
        <f>prodnorm87</f>
        <v>0</v>
      </c>
      <c r="N37" s="66">
        <f>dagwerk87</f>
        <v>0</v>
      </c>
      <c r="O37" s="62" t="s">
        <v>45</v>
      </c>
      <c r="P37" s="67">
        <f>uurtarief87</f>
        <v>0</v>
      </c>
      <c r="Q37" s="64" t="e">
        <f t="shared" si="4"/>
        <v>#DIV/0!</v>
      </c>
      <c r="R37" s="64" t="e">
        <f t="shared" si="5"/>
        <v>#DIV/0!</v>
      </c>
      <c r="S37" s="67" t="e">
        <f t="shared" si="1"/>
        <v>#DIV/0!</v>
      </c>
      <c r="T37" s="64" t="e">
        <f t="shared" si="2"/>
        <v>#DIV/0!</v>
      </c>
      <c r="U37" s="68" t="e">
        <f t="shared" si="3"/>
        <v>#DIV/0!</v>
      </c>
    </row>
    <row r="38" spans="1:21" x14ac:dyDescent="0.2">
      <c r="A38" s="61" t="s">
        <v>244</v>
      </c>
      <c r="B38" s="62" t="s">
        <v>253</v>
      </c>
      <c r="C38" s="62" t="s">
        <v>254</v>
      </c>
      <c r="D38" s="62" t="s">
        <v>311</v>
      </c>
      <c r="E38" s="63" t="s">
        <v>312</v>
      </c>
      <c r="F38" s="62" t="s">
        <v>289</v>
      </c>
      <c r="G38" s="62" t="s">
        <v>205</v>
      </c>
      <c r="H38" s="62" t="s">
        <v>22</v>
      </c>
      <c r="I38" s="62" t="s">
        <v>157</v>
      </c>
      <c r="J38" s="62"/>
      <c r="K38" s="64">
        <v>16.7</v>
      </c>
      <c r="L38" s="64">
        <f t="shared" si="0"/>
        <v>3.34</v>
      </c>
      <c r="M38" s="65">
        <f>prodnorm83</f>
        <v>0</v>
      </c>
      <c r="N38" s="66">
        <f>dagwerk83</f>
        <v>0</v>
      </c>
      <c r="O38" s="62" t="s">
        <v>45</v>
      </c>
      <c r="P38" s="67">
        <f>uurtarief83</f>
        <v>0</v>
      </c>
      <c r="Q38" s="64" t="e">
        <f t="shared" si="4"/>
        <v>#DIV/0!</v>
      </c>
      <c r="R38" s="64" t="e">
        <f t="shared" si="5"/>
        <v>#DIV/0!</v>
      </c>
      <c r="S38" s="67" t="e">
        <f t="shared" si="1"/>
        <v>#DIV/0!</v>
      </c>
      <c r="T38" s="64" t="e">
        <f t="shared" si="2"/>
        <v>#DIV/0!</v>
      </c>
      <c r="U38" s="68" t="e">
        <f t="shared" si="3"/>
        <v>#DIV/0!</v>
      </c>
    </row>
    <row r="39" spans="1:21" x14ac:dyDescent="0.2">
      <c r="A39" s="61" t="s">
        <v>244</v>
      </c>
      <c r="B39" s="62" t="s">
        <v>253</v>
      </c>
      <c r="C39" s="62" t="s">
        <v>254</v>
      </c>
      <c r="D39" s="62" t="s">
        <v>313</v>
      </c>
      <c r="E39" s="63" t="s">
        <v>314</v>
      </c>
      <c r="F39" s="62" t="s">
        <v>257</v>
      </c>
      <c r="G39" s="62" t="s">
        <v>207</v>
      </c>
      <c r="H39" s="62" t="s">
        <v>11</v>
      </c>
      <c r="I39" s="62" t="s">
        <v>157</v>
      </c>
      <c r="J39" s="62"/>
      <c r="K39" s="64">
        <v>105</v>
      </c>
      <c r="L39" s="64">
        <f t="shared" si="0"/>
        <v>105</v>
      </c>
      <c r="M39" s="65">
        <f>prodnorm87</f>
        <v>0</v>
      </c>
      <c r="N39" s="66">
        <f>dagwerk87</f>
        <v>0</v>
      </c>
      <c r="O39" s="62" t="s">
        <v>45</v>
      </c>
      <c r="P39" s="67">
        <f>uurtarief87</f>
        <v>0</v>
      </c>
      <c r="Q39" s="64" t="e">
        <f t="shared" si="4"/>
        <v>#DIV/0!</v>
      </c>
      <c r="R39" s="64" t="e">
        <f t="shared" si="5"/>
        <v>#DIV/0!</v>
      </c>
      <c r="S39" s="67" t="e">
        <f t="shared" si="1"/>
        <v>#DIV/0!</v>
      </c>
      <c r="T39" s="64" t="e">
        <f t="shared" si="2"/>
        <v>#DIV/0!</v>
      </c>
      <c r="U39" s="68" t="e">
        <f t="shared" si="3"/>
        <v>#DIV/0!</v>
      </c>
    </row>
    <row r="40" spans="1:21" x14ac:dyDescent="0.2">
      <c r="A40" s="61" t="s">
        <v>244</v>
      </c>
      <c r="B40" s="62" t="s">
        <v>253</v>
      </c>
      <c r="C40" s="62" t="s">
        <v>254</v>
      </c>
      <c r="D40" s="62" t="s">
        <v>315</v>
      </c>
      <c r="E40" s="63" t="s">
        <v>316</v>
      </c>
      <c r="F40" s="62" t="s">
        <v>257</v>
      </c>
      <c r="G40" s="62" t="s">
        <v>161</v>
      </c>
      <c r="H40" s="62" t="s">
        <v>17</v>
      </c>
      <c r="I40" s="62" t="s">
        <v>157</v>
      </c>
      <c r="J40" s="62"/>
      <c r="K40" s="64">
        <v>155</v>
      </c>
      <c r="L40" s="64">
        <f t="shared" si="0"/>
        <v>69.901960784313729</v>
      </c>
      <c r="M40" s="65">
        <f>prodnorm42</f>
        <v>0</v>
      </c>
      <c r="N40" s="66">
        <f>dagwerk42</f>
        <v>0</v>
      </c>
      <c r="O40" s="62" t="s">
        <v>45</v>
      </c>
      <c r="P40" s="67">
        <f>uurtarief42</f>
        <v>0</v>
      </c>
      <c r="Q40" s="64" t="e">
        <f t="shared" si="4"/>
        <v>#DIV/0!</v>
      </c>
      <c r="R40" s="64" t="e">
        <f t="shared" si="5"/>
        <v>#DIV/0!</v>
      </c>
      <c r="S40" s="67" t="e">
        <f t="shared" si="1"/>
        <v>#DIV/0!</v>
      </c>
      <c r="T40" s="64" t="e">
        <f t="shared" si="2"/>
        <v>#DIV/0!</v>
      </c>
      <c r="U40" s="68" t="e">
        <f t="shared" si="3"/>
        <v>#DIV/0!</v>
      </c>
    </row>
    <row r="41" spans="1:21" x14ac:dyDescent="0.2">
      <c r="A41" s="61" t="s">
        <v>244</v>
      </c>
      <c r="B41" s="62" t="s">
        <v>253</v>
      </c>
      <c r="C41" s="62" t="s">
        <v>254</v>
      </c>
      <c r="D41" s="62" t="s">
        <v>317</v>
      </c>
      <c r="E41" s="63" t="s">
        <v>318</v>
      </c>
      <c r="F41" s="62" t="s">
        <v>257</v>
      </c>
      <c r="G41" s="62" t="s">
        <v>179</v>
      </c>
      <c r="H41" s="62" t="s">
        <v>12</v>
      </c>
      <c r="I41" s="62" t="s">
        <v>157</v>
      </c>
      <c r="J41" s="62"/>
      <c r="K41" s="64">
        <v>4.2</v>
      </c>
      <c r="L41" s="64">
        <f t="shared" si="0"/>
        <v>3.7882352941176474</v>
      </c>
      <c r="M41" s="65">
        <f>prodnorm59</f>
        <v>0</v>
      </c>
      <c r="N41" s="66">
        <f>dagwerk59</f>
        <v>0</v>
      </c>
      <c r="O41" s="62" t="s">
        <v>45</v>
      </c>
      <c r="P41" s="67">
        <f>uurtarief59</f>
        <v>0</v>
      </c>
      <c r="Q41" s="64" t="e">
        <f t="shared" si="4"/>
        <v>#DIV/0!</v>
      </c>
      <c r="R41" s="64" t="e">
        <f t="shared" si="5"/>
        <v>#DIV/0!</v>
      </c>
      <c r="S41" s="67" t="e">
        <f t="shared" si="1"/>
        <v>#DIV/0!</v>
      </c>
      <c r="T41" s="64" t="e">
        <f t="shared" si="2"/>
        <v>#DIV/0!</v>
      </c>
      <c r="U41" s="68" t="e">
        <f t="shared" si="3"/>
        <v>#DIV/0!</v>
      </c>
    </row>
    <row r="42" spans="1:21" ht="25.5" x14ac:dyDescent="0.2">
      <c r="A42" s="61" t="s">
        <v>244</v>
      </c>
      <c r="B42" s="62" t="s">
        <v>253</v>
      </c>
      <c r="C42" s="62" t="s">
        <v>254</v>
      </c>
      <c r="D42" s="62" t="s">
        <v>319</v>
      </c>
      <c r="E42" s="63" t="s">
        <v>320</v>
      </c>
      <c r="F42" s="62" t="s">
        <v>249</v>
      </c>
      <c r="G42" s="62" t="s">
        <v>201</v>
      </c>
      <c r="H42" s="62" t="s">
        <v>11</v>
      </c>
      <c r="I42" s="62" t="s">
        <v>157</v>
      </c>
      <c r="J42" s="62"/>
      <c r="K42" s="64">
        <v>11.1</v>
      </c>
      <c r="L42" s="64">
        <f t="shared" si="0"/>
        <v>11.1</v>
      </c>
      <c r="M42" s="65">
        <f>prodnorm78</f>
        <v>0</v>
      </c>
      <c r="N42" s="66">
        <f>dagwerk78</f>
        <v>0</v>
      </c>
      <c r="O42" s="62" t="s">
        <v>45</v>
      </c>
      <c r="P42" s="67">
        <f>uurtarief78</f>
        <v>0</v>
      </c>
      <c r="Q42" s="64" t="e">
        <f t="shared" si="4"/>
        <v>#DIV/0!</v>
      </c>
      <c r="R42" s="64" t="e">
        <f t="shared" si="5"/>
        <v>#DIV/0!</v>
      </c>
      <c r="S42" s="67" t="e">
        <f t="shared" si="1"/>
        <v>#DIV/0!</v>
      </c>
      <c r="T42" s="64" t="e">
        <f t="shared" si="2"/>
        <v>#DIV/0!</v>
      </c>
      <c r="U42" s="68" t="e">
        <f t="shared" si="3"/>
        <v>#DIV/0!</v>
      </c>
    </row>
    <row r="43" spans="1:21" ht="25.5" x14ac:dyDescent="0.2">
      <c r="A43" s="61" t="s">
        <v>244</v>
      </c>
      <c r="B43" s="62" t="s">
        <v>253</v>
      </c>
      <c r="C43" s="62" t="s">
        <v>254</v>
      </c>
      <c r="D43" s="62" t="s">
        <v>321</v>
      </c>
      <c r="E43" s="63" t="s">
        <v>322</v>
      </c>
      <c r="F43" s="62" t="s">
        <v>249</v>
      </c>
      <c r="G43" s="62" t="s">
        <v>201</v>
      </c>
      <c r="H43" s="62" t="s">
        <v>11</v>
      </c>
      <c r="I43" s="62" t="s">
        <v>157</v>
      </c>
      <c r="J43" s="62"/>
      <c r="K43" s="64">
        <v>15.9</v>
      </c>
      <c r="L43" s="64">
        <f t="shared" si="0"/>
        <v>15.9</v>
      </c>
      <c r="M43" s="65">
        <f>prodnorm78</f>
        <v>0</v>
      </c>
      <c r="N43" s="66">
        <f>dagwerk78</f>
        <v>0</v>
      </c>
      <c r="O43" s="62" t="s">
        <v>45</v>
      </c>
      <c r="P43" s="67">
        <f>uurtarief78</f>
        <v>0</v>
      </c>
      <c r="Q43" s="64" t="e">
        <f t="shared" si="4"/>
        <v>#DIV/0!</v>
      </c>
      <c r="R43" s="64" t="e">
        <f t="shared" si="5"/>
        <v>#DIV/0!</v>
      </c>
      <c r="S43" s="67" t="e">
        <f t="shared" si="1"/>
        <v>#DIV/0!</v>
      </c>
      <c r="T43" s="64" t="e">
        <f t="shared" si="2"/>
        <v>#DIV/0!</v>
      </c>
      <c r="U43" s="68" t="e">
        <f t="shared" si="3"/>
        <v>#DIV/0!</v>
      </c>
    </row>
    <row r="44" spans="1:21" x14ac:dyDescent="0.2">
      <c r="A44" s="61" t="s">
        <v>244</v>
      </c>
      <c r="B44" s="62" t="s">
        <v>253</v>
      </c>
      <c r="C44" s="62" t="s">
        <v>254</v>
      </c>
      <c r="D44" s="62" t="s">
        <v>323</v>
      </c>
      <c r="E44" s="63" t="s">
        <v>324</v>
      </c>
      <c r="F44" s="62" t="s">
        <v>257</v>
      </c>
      <c r="G44" s="62" t="s">
        <v>181</v>
      </c>
      <c r="H44" s="62" t="s">
        <v>17</v>
      </c>
      <c r="I44" s="62" t="s">
        <v>157</v>
      </c>
      <c r="J44" s="62"/>
      <c r="K44" s="64">
        <v>151</v>
      </c>
      <c r="L44" s="64">
        <f t="shared" si="0"/>
        <v>68.098039215686271</v>
      </c>
      <c r="M44" s="65">
        <f>prodnorm60</f>
        <v>0</v>
      </c>
      <c r="N44" s="66">
        <f>dagwerk60</f>
        <v>0</v>
      </c>
      <c r="O44" s="62" t="s">
        <v>45</v>
      </c>
      <c r="P44" s="67">
        <f>uurtarief60</f>
        <v>0</v>
      </c>
      <c r="Q44" s="64" t="e">
        <f t="shared" si="4"/>
        <v>#DIV/0!</v>
      </c>
      <c r="R44" s="64" t="e">
        <f t="shared" si="5"/>
        <v>#DIV/0!</v>
      </c>
      <c r="S44" s="67" t="e">
        <f t="shared" si="1"/>
        <v>#DIV/0!</v>
      </c>
      <c r="T44" s="64" t="e">
        <f t="shared" si="2"/>
        <v>#DIV/0!</v>
      </c>
      <c r="U44" s="68" t="e">
        <f t="shared" si="3"/>
        <v>#DIV/0!</v>
      </c>
    </row>
    <row r="45" spans="1:21" x14ac:dyDescent="0.2">
      <c r="A45" s="61" t="s">
        <v>244</v>
      </c>
      <c r="B45" s="62" t="s">
        <v>253</v>
      </c>
      <c r="C45" s="62" t="s">
        <v>254</v>
      </c>
      <c r="D45" s="62" t="s">
        <v>325</v>
      </c>
      <c r="E45" s="63" t="s">
        <v>326</v>
      </c>
      <c r="F45" s="62" t="s">
        <v>257</v>
      </c>
      <c r="G45" s="62" t="s">
        <v>205</v>
      </c>
      <c r="H45" s="62" t="s">
        <v>23</v>
      </c>
      <c r="I45" s="62" t="s">
        <v>157</v>
      </c>
      <c r="J45" s="62"/>
      <c r="K45" s="64">
        <v>15</v>
      </c>
      <c r="L45" s="64">
        <f t="shared" si="0"/>
        <v>2.7058823529411766</v>
      </c>
      <c r="M45" s="65">
        <f>prodnorm82</f>
        <v>0</v>
      </c>
      <c r="N45" s="66">
        <f>dagwerk82</f>
        <v>0</v>
      </c>
      <c r="O45" s="62" t="s">
        <v>45</v>
      </c>
      <c r="P45" s="67">
        <f>uurtarief82</f>
        <v>0</v>
      </c>
      <c r="Q45" s="64" t="e">
        <f t="shared" si="4"/>
        <v>#DIV/0!</v>
      </c>
      <c r="R45" s="64" t="e">
        <f t="shared" si="5"/>
        <v>#DIV/0!</v>
      </c>
      <c r="S45" s="67" t="e">
        <f t="shared" si="1"/>
        <v>#DIV/0!</v>
      </c>
      <c r="T45" s="64" t="e">
        <f t="shared" si="2"/>
        <v>#DIV/0!</v>
      </c>
      <c r="U45" s="68" t="e">
        <f t="shared" si="3"/>
        <v>#DIV/0!</v>
      </c>
    </row>
    <row r="46" spans="1:21" x14ac:dyDescent="0.2">
      <c r="A46" s="61" t="s">
        <v>244</v>
      </c>
      <c r="B46" s="62" t="s">
        <v>253</v>
      </c>
      <c r="C46" s="62" t="s">
        <v>254</v>
      </c>
      <c r="D46" s="62" t="s">
        <v>327</v>
      </c>
      <c r="E46" s="63" t="s">
        <v>328</v>
      </c>
      <c r="F46" s="62" t="s">
        <v>286</v>
      </c>
      <c r="G46" s="62" t="s">
        <v>205</v>
      </c>
      <c r="H46" s="62" t="s">
        <v>22</v>
      </c>
      <c r="I46" s="62" t="s">
        <v>157</v>
      </c>
      <c r="J46" s="62"/>
      <c r="K46" s="64">
        <v>1</v>
      </c>
      <c r="L46" s="64">
        <f t="shared" si="0"/>
        <v>0.2</v>
      </c>
      <c r="M46" s="65">
        <f>prodnorm83</f>
        <v>0</v>
      </c>
      <c r="N46" s="66">
        <f>dagwerk83</f>
        <v>0</v>
      </c>
      <c r="O46" s="62" t="s">
        <v>45</v>
      </c>
      <c r="P46" s="67">
        <f>uurtarief83</f>
        <v>0</v>
      </c>
      <c r="Q46" s="64" t="e">
        <f t="shared" si="4"/>
        <v>#DIV/0!</v>
      </c>
      <c r="R46" s="64" t="e">
        <f t="shared" si="5"/>
        <v>#DIV/0!</v>
      </c>
      <c r="S46" s="67" t="e">
        <f t="shared" si="1"/>
        <v>#DIV/0!</v>
      </c>
      <c r="T46" s="64" t="e">
        <f t="shared" si="2"/>
        <v>#DIV/0!</v>
      </c>
      <c r="U46" s="68" t="e">
        <f t="shared" si="3"/>
        <v>#DIV/0!</v>
      </c>
    </row>
    <row r="47" spans="1:21" x14ac:dyDescent="0.2">
      <c r="A47" s="61" t="s">
        <v>244</v>
      </c>
      <c r="B47" s="62" t="s">
        <v>253</v>
      </c>
      <c r="C47" s="62" t="s">
        <v>254</v>
      </c>
      <c r="D47" s="62" t="s">
        <v>329</v>
      </c>
      <c r="E47" s="63" t="s">
        <v>330</v>
      </c>
      <c r="F47" s="62" t="s">
        <v>286</v>
      </c>
      <c r="G47" s="62" t="s">
        <v>205</v>
      </c>
      <c r="H47" s="62" t="s">
        <v>22</v>
      </c>
      <c r="I47" s="62" t="s">
        <v>157</v>
      </c>
      <c r="J47" s="62"/>
      <c r="K47" s="64">
        <v>15</v>
      </c>
      <c r="L47" s="64">
        <f t="shared" si="0"/>
        <v>3</v>
      </c>
      <c r="M47" s="65">
        <f>prodnorm83</f>
        <v>0</v>
      </c>
      <c r="N47" s="66">
        <f>dagwerk83</f>
        <v>0</v>
      </c>
      <c r="O47" s="62" t="s">
        <v>45</v>
      </c>
      <c r="P47" s="67">
        <f>uurtarief83</f>
        <v>0</v>
      </c>
      <c r="Q47" s="64" t="e">
        <f t="shared" si="4"/>
        <v>#DIV/0!</v>
      </c>
      <c r="R47" s="64" t="e">
        <f t="shared" si="5"/>
        <v>#DIV/0!</v>
      </c>
      <c r="S47" s="67" t="e">
        <f t="shared" si="1"/>
        <v>#DIV/0!</v>
      </c>
      <c r="T47" s="64" t="e">
        <f t="shared" si="2"/>
        <v>#DIV/0!</v>
      </c>
      <c r="U47" s="68" t="e">
        <f t="shared" si="3"/>
        <v>#DIV/0!</v>
      </c>
    </row>
    <row r="48" spans="1:21" x14ac:dyDescent="0.2">
      <c r="A48" s="61" t="s">
        <v>244</v>
      </c>
      <c r="B48" s="62" t="s">
        <v>253</v>
      </c>
      <c r="C48" s="62" t="s">
        <v>254</v>
      </c>
      <c r="D48" s="62" t="s">
        <v>331</v>
      </c>
      <c r="E48" s="63" t="s">
        <v>332</v>
      </c>
      <c r="F48" s="62" t="s">
        <v>257</v>
      </c>
      <c r="G48" s="62" t="s">
        <v>207</v>
      </c>
      <c r="H48" s="62" t="s">
        <v>12</v>
      </c>
      <c r="I48" s="62" t="s">
        <v>157</v>
      </c>
      <c r="J48" s="62"/>
      <c r="K48" s="64">
        <v>225.8</v>
      </c>
      <c r="L48" s="64">
        <f t="shared" si="0"/>
        <v>203.66274509803924</v>
      </c>
      <c r="M48" s="65">
        <f>prodnorm86</f>
        <v>0</v>
      </c>
      <c r="N48" s="66">
        <f>dagwerk86</f>
        <v>0</v>
      </c>
      <c r="O48" s="62" t="s">
        <v>45</v>
      </c>
      <c r="P48" s="67">
        <f>uurtarief86</f>
        <v>0</v>
      </c>
      <c r="Q48" s="64" t="e">
        <f t="shared" si="4"/>
        <v>#DIV/0!</v>
      </c>
      <c r="R48" s="64" t="e">
        <f t="shared" si="5"/>
        <v>#DIV/0!</v>
      </c>
      <c r="S48" s="67" t="e">
        <f t="shared" si="1"/>
        <v>#DIV/0!</v>
      </c>
      <c r="T48" s="64" t="e">
        <f t="shared" si="2"/>
        <v>#DIV/0!</v>
      </c>
      <c r="U48" s="68" t="e">
        <f t="shared" si="3"/>
        <v>#DIV/0!</v>
      </c>
    </row>
    <row r="49" spans="1:21" x14ac:dyDescent="0.2">
      <c r="A49" s="61" t="s">
        <v>244</v>
      </c>
      <c r="B49" s="62" t="s">
        <v>253</v>
      </c>
      <c r="C49" s="62" t="s">
        <v>254</v>
      </c>
      <c r="D49" s="62" t="s">
        <v>333</v>
      </c>
      <c r="E49" s="63" t="s">
        <v>334</v>
      </c>
      <c r="F49" s="62" t="s">
        <v>257</v>
      </c>
      <c r="G49" s="62" t="s">
        <v>207</v>
      </c>
      <c r="H49" s="62" t="s">
        <v>12</v>
      </c>
      <c r="I49" s="62" t="s">
        <v>157</v>
      </c>
      <c r="J49" s="62"/>
      <c r="K49" s="64">
        <v>23</v>
      </c>
      <c r="L49" s="64">
        <f t="shared" si="0"/>
        <v>20.745098039215687</v>
      </c>
      <c r="M49" s="65">
        <f>prodnorm86</f>
        <v>0</v>
      </c>
      <c r="N49" s="66">
        <f>dagwerk86</f>
        <v>0</v>
      </c>
      <c r="O49" s="62" t="s">
        <v>45</v>
      </c>
      <c r="P49" s="67">
        <f>uurtarief86</f>
        <v>0</v>
      </c>
      <c r="Q49" s="64" t="e">
        <f t="shared" si="4"/>
        <v>#DIV/0!</v>
      </c>
      <c r="R49" s="64" t="e">
        <f t="shared" si="5"/>
        <v>#DIV/0!</v>
      </c>
      <c r="S49" s="67" t="e">
        <f t="shared" si="1"/>
        <v>#DIV/0!</v>
      </c>
      <c r="T49" s="64" t="e">
        <f t="shared" si="2"/>
        <v>#DIV/0!</v>
      </c>
      <c r="U49" s="68" t="e">
        <f t="shared" si="3"/>
        <v>#DIV/0!</v>
      </c>
    </row>
    <row r="50" spans="1:21" x14ac:dyDescent="0.2">
      <c r="A50" s="61" t="s">
        <v>244</v>
      </c>
      <c r="B50" s="62" t="s">
        <v>253</v>
      </c>
      <c r="C50" s="62" t="s">
        <v>254</v>
      </c>
      <c r="D50" s="62" t="s">
        <v>335</v>
      </c>
      <c r="E50" s="63" t="s">
        <v>336</v>
      </c>
      <c r="F50" s="62" t="s">
        <v>337</v>
      </c>
      <c r="G50" s="62" t="s">
        <v>171</v>
      </c>
      <c r="H50" s="62" t="s">
        <v>12</v>
      </c>
      <c r="I50" s="62" t="s">
        <v>157</v>
      </c>
      <c r="J50" s="62"/>
      <c r="K50" s="64">
        <v>26.86</v>
      </c>
      <c r="L50" s="64">
        <f t="shared" si="0"/>
        <v>24.226666666666667</v>
      </c>
      <c r="M50" s="65">
        <f>prodnorm55</f>
        <v>0</v>
      </c>
      <c r="N50" s="66">
        <f>dagwerk55</f>
        <v>0</v>
      </c>
      <c r="O50" s="62" t="s">
        <v>45</v>
      </c>
      <c r="P50" s="67">
        <f>uurtarief55</f>
        <v>0</v>
      </c>
      <c r="Q50" s="64" t="e">
        <f t="shared" si="4"/>
        <v>#DIV/0!</v>
      </c>
      <c r="R50" s="64" t="e">
        <f t="shared" si="5"/>
        <v>#DIV/0!</v>
      </c>
      <c r="S50" s="67" t="e">
        <f t="shared" si="1"/>
        <v>#DIV/0!</v>
      </c>
      <c r="T50" s="64" t="e">
        <f t="shared" si="2"/>
        <v>#DIV/0!</v>
      </c>
      <c r="U50" s="68" t="e">
        <f t="shared" si="3"/>
        <v>#DIV/0!</v>
      </c>
    </row>
    <row r="51" spans="1:21" ht="25.5" x14ac:dyDescent="0.2">
      <c r="A51" s="61" t="s">
        <v>244</v>
      </c>
      <c r="B51" s="62" t="s">
        <v>253</v>
      </c>
      <c r="C51" s="62" t="s">
        <v>254</v>
      </c>
      <c r="D51" s="62" t="s">
        <v>338</v>
      </c>
      <c r="E51" s="63" t="s">
        <v>339</v>
      </c>
      <c r="F51" s="62" t="s">
        <v>257</v>
      </c>
      <c r="G51" s="62" t="s">
        <v>195</v>
      </c>
      <c r="H51" s="62" t="s">
        <v>12</v>
      </c>
      <c r="I51" s="62" t="s">
        <v>157</v>
      </c>
      <c r="J51" s="62"/>
      <c r="K51" s="64">
        <v>9.4</v>
      </c>
      <c r="L51" s="64">
        <f t="shared" si="0"/>
        <v>8.4784313725490197</v>
      </c>
      <c r="M51" s="65">
        <f>prodnorm74</f>
        <v>0</v>
      </c>
      <c r="N51" s="66">
        <f>dagwerk74</f>
        <v>0</v>
      </c>
      <c r="O51" s="62" t="s">
        <v>45</v>
      </c>
      <c r="P51" s="67">
        <f>uurtarief74</f>
        <v>0</v>
      </c>
      <c r="Q51" s="64" t="e">
        <f t="shared" si="4"/>
        <v>#DIV/0!</v>
      </c>
      <c r="R51" s="64" t="e">
        <f t="shared" si="5"/>
        <v>#DIV/0!</v>
      </c>
      <c r="S51" s="67" t="e">
        <f t="shared" si="1"/>
        <v>#DIV/0!</v>
      </c>
      <c r="T51" s="64" t="e">
        <f t="shared" si="2"/>
        <v>#DIV/0!</v>
      </c>
      <c r="U51" s="68" t="e">
        <f t="shared" si="3"/>
        <v>#DIV/0!</v>
      </c>
    </row>
    <row r="52" spans="1:21" ht="25.5" x14ac:dyDescent="0.2">
      <c r="A52" s="61" t="s">
        <v>244</v>
      </c>
      <c r="B52" s="62" t="s">
        <v>253</v>
      </c>
      <c r="C52" s="62" t="s">
        <v>254</v>
      </c>
      <c r="D52" s="62" t="s">
        <v>340</v>
      </c>
      <c r="E52" s="63" t="s">
        <v>339</v>
      </c>
      <c r="F52" s="62" t="s">
        <v>257</v>
      </c>
      <c r="G52" s="62" t="s">
        <v>195</v>
      </c>
      <c r="H52" s="62" t="s">
        <v>12</v>
      </c>
      <c r="I52" s="62" t="s">
        <v>157</v>
      </c>
      <c r="J52" s="62"/>
      <c r="K52" s="64">
        <v>32.299999999999997</v>
      </c>
      <c r="L52" s="64">
        <f t="shared" si="0"/>
        <v>29.133333333333333</v>
      </c>
      <c r="M52" s="65">
        <f>prodnorm74</f>
        <v>0</v>
      </c>
      <c r="N52" s="66">
        <f>dagwerk74</f>
        <v>0</v>
      </c>
      <c r="O52" s="62" t="s">
        <v>45</v>
      </c>
      <c r="P52" s="67">
        <f>uurtarief74</f>
        <v>0</v>
      </c>
      <c r="Q52" s="64" t="e">
        <f t="shared" si="4"/>
        <v>#DIV/0!</v>
      </c>
      <c r="R52" s="64" t="e">
        <f t="shared" si="5"/>
        <v>#DIV/0!</v>
      </c>
      <c r="S52" s="67" t="e">
        <f t="shared" si="1"/>
        <v>#DIV/0!</v>
      </c>
      <c r="T52" s="64" t="e">
        <f t="shared" si="2"/>
        <v>#DIV/0!</v>
      </c>
      <c r="U52" s="68" t="e">
        <f t="shared" si="3"/>
        <v>#DIV/0!</v>
      </c>
    </row>
    <row r="53" spans="1:21" x14ac:dyDescent="0.2">
      <c r="A53" s="61" t="s">
        <v>244</v>
      </c>
      <c r="B53" s="62" t="s">
        <v>253</v>
      </c>
      <c r="C53" s="62" t="s">
        <v>254</v>
      </c>
      <c r="D53" s="62" t="s">
        <v>341</v>
      </c>
      <c r="E53" s="63" t="s">
        <v>342</v>
      </c>
      <c r="F53" s="62" t="s">
        <v>249</v>
      </c>
      <c r="G53" s="62" t="s">
        <v>201</v>
      </c>
      <c r="H53" s="62" t="s">
        <v>12</v>
      </c>
      <c r="I53" s="62" t="s">
        <v>157</v>
      </c>
      <c r="J53" s="62"/>
      <c r="K53" s="64">
        <v>3.8</v>
      </c>
      <c r="L53" s="64">
        <f t="shared" si="0"/>
        <v>3.4274509803921567</v>
      </c>
      <c r="M53" s="65">
        <f>prodnorm77</f>
        <v>0</v>
      </c>
      <c r="N53" s="66">
        <f>dagwerk77</f>
        <v>0</v>
      </c>
      <c r="O53" s="62" t="s">
        <v>45</v>
      </c>
      <c r="P53" s="67">
        <f>uurtarief77</f>
        <v>0</v>
      </c>
      <c r="Q53" s="64" t="e">
        <f t="shared" si="4"/>
        <v>#DIV/0!</v>
      </c>
      <c r="R53" s="64" t="e">
        <f t="shared" si="5"/>
        <v>#DIV/0!</v>
      </c>
      <c r="S53" s="67" t="e">
        <f t="shared" si="1"/>
        <v>#DIV/0!</v>
      </c>
      <c r="T53" s="64" t="e">
        <f t="shared" si="2"/>
        <v>#DIV/0!</v>
      </c>
      <c r="U53" s="68" t="e">
        <f t="shared" si="3"/>
        <v>#DIV/0!</v>
      </c>
    </row>
    <row r="54" spans="1:21" x14ac:dyDescent="0.2">
      <c r="A54" s="61" t="s">
        <v>244</v>
      </c>
      <c r="B54" s="62" t="s">
        <v>253</v>
      </c>
      <c r="C54" s="62" t="s">
        <v>254</v>
      </c>
      <c r="D54" s="62" t="s">
        <v>343</v>
      </c>
      <c r="E54" s="63" t="s">
        <v>344</v>
      </c>
      <c r="F54" s="62" t="s">
        <v>249</v>
      </c>
      <c r="G54" s="62" t="s">
        <v>201</v>
      </c>
      <c r="H54" s="62" t="s">
        <v>12</v>
      </c>
      <c r="I54" s="62" t="s">
        <v>157</v>
      </c>
      <c r="J54" s="62"/>
      <c r="K54" s="64">
        <v>3.8</v>
      </c>
      <c r="L54" s="64">
        <f t="shared" si="0"/>
        <v>3.4274509803921567</v>
      </c>
      <c r="M54" s="65">
        <f>prodnorm77</f>
        <v>0</v>
      </c>
      <c r="N54" s="66">
        <f>dagwerk77</f>
        <v>0</v>
      </c>
      <c r="O54" s="62" t="s">
        <v>45</v>
      </c>
      <c r="P54" s="67">
        <f>uurtarief77</f>
        <v>0</v>
      </c>
      <c r="Q54" s="64" t="e">
        <f t="shared" si="4"/>
        <v>#DIV/0!</v>
      </c>
      <c r="R54" s="64" t="e">
        <f t="shared" si="5"/>
        <v>#DIV/0!</v>
      </c>
      <c r="S54" s="67" t="e">
        <f t="shared" si="1"/>
        <v>#DIV/0!</v>
      </c>
      <c r="T54" s="64" t="e">
        <f t="shared" si="2"/>
        <v>#DIV/0!</v>
      </c>
      <c r="U54" s="68" t="e">
        <f t="shared" si="3"/>
        <v>#DIV/0!</v>
      </c>
    </row>
    <row r="55" spans="1:21" ht="25.5" x14ac:dyDescent="0.2">
      <c r="A55" s="61" t="s">
        <v>244</v>
      </c>
      <c r="B55" s="62" t="s">
        <v>253</v>
      </c>
      <c r="C55" s="62" t="s">
        <v>254</v>
      </c>
      <c r="D55" s="62" t="s">
        <v>345</v>
      </c>
      <c r="E55" s="63" t="s">
        <v>346</v>
      </c>
      <c r="F55" s="62" t="s">
        <v>257</v>
      </c>
      <c r="G55" s="62" t="s">
        <v>183</v>
      </c>
      <c r="H55" s="62" t="s">
        <v>12</v>
      </c>
      <c r="I55" s="62" t="s">
        <v>157</v>
      </c>
      <c r="J55" s="62"/>
      <c r="K55" s="64">
        <v>13</v>
      </c>
      <c r="L55" s="64">
        <f t="shared" si="0"/>
        <v>11.725490196078432</v>
      </c>
      <c r="M55" s="65">
        <f>prodnorm65</f>
        <v>0</v>
      </c>
      <c r="N55" s="66">
        <f>dagwerk65</f>
        <v>0</v>
      </c>
      <c r="O55" s="62" t="s">
        <v>45</v>
      </c>
      <c r="P55" s="67">
        <f>uurtarief65</f>
        <v>0</v>
      </c>
      <c r="Q55" s="64" t="e">
        <f t="shared" si="4"/>
        <v>#DIV/0!</v>
      </c>
      <c r="R55" s="64" t="e">
        <f t="shared" si="5"/>
        <v>#DIV/0!</v>
      </c>
      <c r="S55" s="67" t="e">
        <f t="shared" si="1"/>
        <v>#DIV/0!</v>
      </c>
      <c r="T55" s="64" t="e">
        <f t="shared" si="2"/>
        <v>#DIV/0!</v>
      </c>
      <c r="U55" s="68" t="e">
        <f t="shared" si="3"/>
        <v>#DIV/0!</v>
      </c>
    </row>
    <row r="56" spans="1:21" ht="25.5" x14ac:dyDescent="0.2">
      <c r="A56" s="61" t="s">
        <v>244</v>
      </c>
      <c r="B56" s="62" t="s">
        <v>253</v>
      </c>
      <c r="C56" s="62" t="s">
        <v>254</v>
      </c>
      <c r="D56" s="62" t="s">
        <v>347</v>
      </c>
      <c r="E56" s="63" t="s">
        <v>346</v>
      </c>
      <c r="F56" s="62" t="s">
        <v>257</v>
      </c>
      <c r="G56" s="62" t="s">
        <v>183</v>
      </c>
      <c r="H56" s="62" t="s">
        <v>12</v>
      </c>
      <c r="I56" s="62" t="s">
        <v>157</v>
      </c>
      <c r="J56" s="62"/>
      <c r="K56" s="64">
        <v>16</v>
      </c>
      <c r="L56" s="64">
        <f t="shared" si="0"/>
        <v>14.431372549019608</v>
      </c>
      <c r="M56" s="65">
        <f>prodnorm65</f>
        <v>0</v>
      </c>
      <c r="N56" s="66">
        <f>dagwerk65</f>
        <v>0</v>
      </c>
      <c r="O56" s="62" t="s">
        <v>45</v>
      </c>
      <c r="P56" s="67">
        <f>uurtarief65</f>
        <v>0</v>
      </c>
      <c r="Q56" s="64" t="e">
        <f t="shared" si="4"/>
        <v>#DIV/0!</v>
      </c>
      <c r="R56" s="64" t="e">
        <f t="shared" si="5"/>
        <v>#DIV/0!</v>
      </c>
      <c r="S56" s="67" t="e">
        <f t="shared" si="1"/>
        <v>#DIV/0!</v>
      </c>
      <c r="T56" s="64" t="e">
        <f t="shared" si="2"/>
        <v>#DIV/0!</v>
      </c>
      <c r="U56" s="68" t="e">
        <f t="shared" si="3"/>
        <v>#DIV/0!</v>
      </c>
    </row>
    <row r="57" spans="1:21" x14ac:dyDescent="0.2">
      <c r="A57" s="61" t="s">
        <v>244</v>
      </c>
      <c r="B57" s="62" t="s">
        <v>253</v>
      </c>
      <c r="C57" s="62" t="s">
        <v>254</v>
      </c>
      <c r="D57" s="62" t="s">
        <v>348</v>
      </c>
      <c r="E57" s="63" t="s">
        <v>349</v>
      </c>
      <c r="F57" s="62" t="s">
        <v>249</v>
      </c>
      <c r="G57" s="62" t="s">
        <v>201</v>
      </c>
      <c r="H57" s="62" t="s">
        <v>12</v>
      </c>
      <c r="I57" s="62" t="s">
        <v>157</v>
      </c>
      <c r="J57" s="62"/>
      <c r="K57" s="64">
        <v>8.6999999999999993</v>
      </c>
      <c r="L57" s="64">
        <f t="shared" si="0"/>
        <v>7.8470588235294114</v>
      </c>
      <c r="M57" s="65">
        <f>prodnorm77</f>
        <v>0</v>
      </c>
      <c r="N57" s="66">
        <f>dagwerk77</f>
        <v>0</v>
      </c>
      <c r="O57" s="62" t="s">
        <v>45</v>
      </c>
      <c r="P57" s="67">
        <f>uurtarief77</f>
        <v>0</v>
      </c>
      <c r="Q57" s="64" t="e">
        <f t="shared" si="4"/>
        <v>#DIV/0!</v>
      </c>
      <c r="R57" s="64" t="e">
        <f t="shared" si="5"/>
        <v>#DIV/0!</v>
      </c>
      <c r="S57" s="67" t="e">
        <f t="shared" si="1"/>
        <v>#DIV/0!</v>
      </c>
      <c r="T57" s="64" t="e">
        <f t="shared" si="2"/>
        <v>#DIV/0!</v>
      </c>
      <c r="U57" s="68" t="e">
        <f t="shared" si="3"/>
        <v>#DIV/0!</v>
      </c>
    </row>
    <row r="58" spans="1:21" x14ac:dyDescent="0.2">
      <c r="A58" s="61" t="s">
        <v>244</v>
      </c>
      <c r="B58" s="62" t="s">
        <v>253</v>
      </c>
      <c r="C58" s="62" t="s">
        <v>254</v>
      </c>
      <c r="D58" s="62" t="s">
        <v>348</v>
      </c>
      <c r="E58" s="63" t="s">
        <v>349</v>
      </c>
      <c r="F58" s="62" t="s">
        <v>249</v>
      </c>
      <c r="G58" s="62" t="s">
        <v>203</v>
      </c>
      <c r="H58" s="62" t="s">
        <v>9</v>
      </c>
      <c r="I58" s="62" t="s">
        <v>157</v>
      </c>
      <c r="J58" s="62"/>
      <c r="K58" s="64">
        <v>8.6999999999999993</v>
      </c>
      <c r="L58" s="64">
        <f t="shared" si="0"/>
        <v>15.694117647058823</v>
      </c>
      <c r="M58" s="65">
        <f>prodnorm81</f>
        <v>0</v>
      </c>
      <c r="N58" s="66">
        <f>dagwerk81</f>
        <v>0</v>
      </c>
      <c r="O58" s="62" t="s">
        <v>45</v>
      </c>
      <c r="P58" s="67">
        <f>uurtarief81</f>
        <v>0</v>
      </c>
      <c r="Q58" s="64" t="e">
        <f t="shared" si="4"/>
        <v>#DIV/0!</v>
      </c>
      <c r="R58" s="64" t="e">
        <f t="shared" si="5"/>
        <v>#DIV/0!</v>
      </c>
      <c r="S58" s="67" t="e">
        <f t="shared" si="1"/>
        <v>#DIV/0!</v>
      </c>
      <c r="T58" s="64" t="e">
        <f t="shared" si="2"/>
        <v>#DIV/0!</v>
      </c>
      <c r="U58" s="68" t="e">
        <f t="shared" si="3"/>
        <v>#DIV/0!</v>
      </c>
    </row>
    <row r="59" spans="1:21" x14ac:dyDescent="0.2">
      <c r="A59" s="61" t="s">
        <v>244</v>
      </c>
      <c r="B59" s="62" t="s">
        <v>253</v>
      </c>
      <c r="C59" s="62" t="s">
        <v>254</v>
      </c>
      <c r="D59" s="62" t="s">
        <v>350</v>
      </c>
      <c r="E59" s="63" t="s">
        <v>351</v>
      </c>
      <c r="F59" s="62" t="s">
        <v>249</v>
      </c>
      <c r="G59" s="62" t="s">
        <v>201</v>
      </c>
      <c r="H59" s="62" t="s">
        <v>12</v>
      </c>
      <c r="I59" s="62" t="s">
        <v>157</v>
      </c>
      <c r="J59" s="62"/>
      <c r="K59" s="64">
        <v>6.4</v>
      </c>
      <c r="L59" s="64">
        <f t="shared" si="0"/>
        <v>5.7725490196078439</v>
      </c>
      <c r="M59" s="65">
        <f>prodnorm77</f>
        <v>0</v>
      </c>
      <c r="N59" s="66">
        <f>dagwerk77</f>
        <v>0</v>
      </c>
      <c r="O59" s="62" t="s">
        <v>45</v>
      </c>
      <c r="P59" s="67">
        <f>uurtarief77</f>
        <v>0</v>
      </c>
      <c r="Q59" s="64" t="e">
        <f t="shared" si="4"/>
        <v>#DIV/0!</v>
      </c>
      <c r="R59" s="64" t="e">
        <f t="shared" si="5"/>
        <v>#DIV/0!</v>
      </c>
      <c r="S59" s="67" t="e">
        <f t="shared" si="1"/>
        <v>#DIV/0!</v>
      </c>
      <c r="T59" s="64" t="e">
        <f t="shared" si="2"/>
        <v>#DIV/0!</v>
      </c>
      <c r="U59" s="68" t="e">
        <f t="shared" si="3"/>
        <v>#DIV/0!</v>
      </c>
    </row>
    <row r="60" spans="1:21" x14ac:dyDescent="0.2">
      <c r="A60" s="61" t="s">
        <v>244</v>
      </c>
      <c r="B60" s="62" t="s">
        <v>253</v>
      </c>
      <c r="C60" s="62" t="s">
        <v>254</v>
      </c>
      <c r="D60" s="62" t="s">
        <v>350</v>
      </c>
      <c r="E60" s="63" t="s">
        <v>351</v>
      </c>
      <c r="F60" s="62" t="s">
        <v>249</v>
      </c>
      <c r="G60" s="62" t="s">
        <v>203</v>
      </c>
      <c r="H60" s="62" t="s">
        <v>9</v>
      </c>
      <c r="I60" s="62" t="s">
        <v>157</v>
      </c>
      <c r="J60" s="62"/>
      <c r="K60" s="64">
        <v>6.4</v>
      </c>
      <c r="L60" s="64">
        <f t="shared" si="0"/>
        <v>11.545098039215688</v>
      </c>
      <c r="M60" s="65">
        <f>prodnorm81</f>
        <v>0</v>
      </c>
      <c r="N60" s="66">
        <f>dagwerk81</f>
        <v>0</v>
      </c>
      <c r="O60" s="62" t="s">
        <v>45</v>
      </c>
      <c r="P60" s="67">
        <f>uurtarief81</f>
        <v>0</v>
      </c>
      <c r="Q60" s="64" t="e">
        <f t="shared" si="4"/>
        <v>#DIV/0!</v>
      </c>
      <c r="R60" s="64" t="e">
        <f t="shared" si="5"/>
        <v>#DIV/0!</v>
      </c>
      <c r="S60" s="67" t="e">
        <f t="shared" si="1"/>
        <v>#DIV/0!</v>
      </c>
      <c r="T60" s="64" t="e">
        <f t="shared" si="2"/>
        <v>#DIV/0!</v>
      </c>
      <c r="U60" s="68" t="e">
        <f t="shared" si="3"/>
        <v>#DIV/0!</v>
      </c>
    </row>
    <row r="61" spans="1:21" x14ac:dyDescent="0.2">
      <c r="A61" s="61" t="s">
        <v>244</v>
      </c>
      <c r="B61" s="62" t="s">
        <v>253</v>
      </c>
      <c r="C61" s="62" t="s">
        <v>254</v>
      </c>
      <c r="D61" s="62" t="s">
        <v>352</v>
      </c>
      <c r="E61" s="63" t="s">
        <v>353</v>
      </c>
      <c r="F61" s="62" t="s">
        <v>257</v>
      </c>
      <c r="G61" s="62" t="s">
        <v>207</v>
      </c>
      <c r="H61" s="62" t="s">
        <v>12</v>
      </c>
      <c r="I61" s="62" t="s">
        <v>157</v>
      </c>
      <c r="J61" s="62"/>
      <c r="K61" s="64">
        <v>1.44</v>
      </c>
      <c r="L61" s="64">
        <f t="shared" si="0"/>
        <v>1.2988235294117647</v>
      </c>
      <c r="M61" s="65">
        <f>prodnorm86</f>
        <v>0</v>
      </c>
      <c r="N61" s="66">
        <f>dagwerk86</f>
        <v>0</v>
      </c>
      <c r="O61" s="62" t="s">
        <v>45</v>
      </c>
      <c r="P61" s="67">
        <f>uurtarief86</f>
        <v>0</v>
      </c>
      <c r="Q61" s="64" t="e">
        <f t="shared" si="4"/>
        <v>#DIV/0!</v>
      </c>
      <c r="R61" s="64" t="e">
        <f t="shared" si="5"/>
        <v>#DIV/0!</v>
      </c>
      <c r="S61" s="67" t="e">
        <f t="shared" si="1"/>
        <v>#DIV/0!</v>
      </c>
      <c r="T61" s="64" t="e">
        <f t="shared" si="2"/>
        <v>#DIV/0!</v>
      </c>
      <c r="U61" s="68" t="e">
        <f t="shared" si="3"/>
        <v>#DIV/0!</v>
      </c>
    </row>
    <row r="62" spans="1:21" x14ac:dyDescent="0.2">
      <c r="A62" s="61" t="s">
        <v>244</v>
      </c>
      <c r="B62" s="62" t="s">
        <v>253</v>
      </c>
      <c r="C62" s="62" t="s">
        <v>254</v>
      </c>
      <c r="D62" s="62" t="s">
        <v>354</v>
      </c>
      <c r="E62" s="63" t="s">
        <v>355</v>
      </c>
      <c r="F62" s="62" t="s">
        <v>257</v>
      </c>
      <c r="G62" s="62" t="s">
        <v>183</v>
      </c>
      <c r="H62" s="62" t="s">
        <v>12</v>
      </c>
      <c r="I62" s="62" t="s">
        <v>157</v>
      </c>
      <c r="J62" s="62"/>
      <c r="K62" s="64">
        <v>11.53</v>
      </c>
      <c r="L62" s="64">
        <f t="shared" si="0"/>
        <v>10.399607843137254</v>
      </c>
      <c r="M62" s="65">
        <f>prodnorm65</f>
        <v>0</v>
      </c>
      <c r="N62" s="66">
        <f>dagwerk65</f>
        <v>0</v>
      </c>
      <c r="O62" s="62" t="s">
        <v>45</v>
      </c>
      <c r="P62" s="67">
        <f>uurtarief65</f>
        <v>0</v>
      </c>
      <c r="Q62" s="64" t="e">
        <f t="shared" si="4"/>
        <v>#DIV/0!</v>
      </c>
      <c r="R62" s="64" t="e">
        <f t="shared" si="5"/>
        <v>#DIV/0!</v>
      </c>
      <c r="S62" s="67" t="e">
        <f t="shared" si="1"/>
        <v>#DIV/0!</v>
      </c>
      <c r="T62" s="64" t="e">
        <f t="shared" si="2"/>
        <v>#DIV/0!</v>
      </c>
      <c r="U62" s="68" t="e">
        <f t="shared" si="3"/>
        <v>#DIV/0!</v>
      </c>
    </row>
    <row r="63" spans="1:21" x14ac:dyDescent="0.2">
      <c r="A63" s="61" t="s">
        <v>244</v>
      </c>
      <c r="B63" s="62" t="s">
        <v>253</v>
      </c>
      <c r="C63" s="62" t="s">
        <v>254</v>
      </c>
      <c r="D63" s="62" t="s">
        <v>356</v>
      </c>
      <c r="E63" s="63" t="s">
        <v>212</v>
      </c>
      <c r="F63" s="62" t="s">
        <v>286</v>
      </c>
      <c r="G63" s="62" t="s">
        <v>211</v>
      </c>
      <c r="H63" s="62" t="s">
        <v>31</v>
      </c>
      <c r="I63" s="62" t="s">
        <v>157</v>
      </c>
      <c r="J63" s="62"/>
      <c r="K63" s="64">
        <v>42.9</v>
      </c>
      <c r="L63" s="64">
        <f t="shared" si="0"/>
        <v>0.33647058823529408</v>
      </c>
      <c r="M63" s="65">
        <f>prodnorm94</f>
        <v>0</v>
      </c>
      <c r="N63" s="66">
        <f>dagwerk94</f>
        <v>0</v>
      </c>
      <c r="O63" s="62" t="s">
        <v>45</v>
      </c>
      <c r="P63" s="67">
        <f>uurtarief94</f>
        <v>0</v>
      </c>
      <c r="Q63" s="64" t="e">
        <f t="shared" si="4"/>
        <v>#DIV/0!</v>
      </c>
      <c r="R63" s="64" t="e">
        <f t="shared" si="5"/>
        <v>#DIV/0!</v>
      </c>
      <c r="S63" s="67" t="e">
        <f t="shared" si="1"/>
        <v>#DIV/0!</v>
      </c>
      <c r="T63" s="64" t="e">
        <f t="shared" si="2"/>
        <v>#DIV/0!</v>
      </c>
      <c r="U63" s="68" t="e">
        <f t="shared" si="3"/>
        <v>#DIV/0!</v>
      </c>
    </row>
    <row r="64" spans="1:21" x14ac:dyDescent="0.2">
      <c r="A64" s="61" t="s">
        <v>244</v>
      </c>
      <c r="B64" s="62" t="s">
        <v>253</v>
      </c>
      <c r="C64" s="62" t="s">
        <v>254</v>
      </c>
      <c r="D64" s="62" t="s">
        <v>357</v>
      </c>
      <c r="E64" s="63" t="s">
        <v>358</v>
      </c>
      <c r="F64" s="62" t="s">
        <v>286</v>
      </c>
      <c r="G64" s="62" t="s">
        <v>211</v>
      </c>
      <c r="H64" s="62" t="s">
        <v>31</v>
      </c>
      <c r="I64" s="62" t="s">
        <v>157</v>
      </c>
      <c r="J64" s="62"/>
      <c r="K64" s="64">
        <v>5.5</v>
      </c>
      <c r="L64" s="64">
        <f t="shared" si="0"/>
        <v>4.3137254901960784E-2</v>
      </c>
      <c r="M64" s="65">
        <f>prodnorm94</f>
        <v>0</v>
      </c>
      <c r="N64" s="66">
        <f>dagwerk94</f>
        <v>0</v>
      </c>
      <c r="O64" s="62" t="s">
        <v>45</v>
      </c>
      <c r="P64" s="67">
        <f>uurtarief94</f>
        <v>0</v>
      </c>
      <c r="Q64" s="64" t="e">
        <f t="shared" si="4"/>
        <v>#DIV/0!</v>
      </c>
      <c r="R64" s="64" t="e">
        <f t="shared" si="5"/>
        <v>#DIV/0!</v>
      </c>
      <c r="S64" s="67" t="e">
        <f t="shared" si="1"/>
        <v>#DIV/0!</v>
      </c>
      <c r="T64" s="64" t="e">
        <f t="shared" si="2"/>
        <v>#DIV/0!</v>
      </c>
      <c r="U64" s="68" t="e">
        <f t="shared" si="3"/>
        <v>#DIV/0!</v>
      </c>
    </row>
    <row r="65" spans="1:21" x14ac:dyDescent="0.2">
      <c r="A65" s="61" t="s">
        <v>244</v>
      </c>
      <c r="B65" s="62" t="s">
        <v>253</v>
      </c>
      <c r="C65" s="62" t="s">
        <v>254</v>
      </c>
      <c r="D65" s="62" t="s">
        <v>359</v>
      </c>
      <c r="E65" s="63" t="s">
        <v>360</v>
      </c>
      <c r="F65" s="62" t="s">
        <v>257</v>
      </c>
      <c r="G65" s="62" t="s">
        <v>207</v>
      </c>
      <c r="H65" s="62" t="s">
        <v>12</v>
      </c>
      <c r="I65" s="62" t="s">
        <v>157</v>
      </c>
      <c r="J65" s="62"/>
      <c r="K65" s="64">
        <v>54.8</v>
      </c>
      <c r="L65" s="64">
        <f t="shared" si="0"/>
        <v>49.427450980392152</v>
      </c>
      <c r="M65" s="65">
        <f>prodnorm86</f>
        <v>0</v>
      </c>
      <c r="N65" s="66">
        <f>dagwerk86</f>
        <v>0</v>
      </c>
      <c r="O65" s="62" t="s">
        <v>45</v>
      </c>
      <c r="P65" s="67">
        <f>uurtarief86</f>
        <v>0</v>
      </c>
      <c r="Q65" s="64" t="e">
        <f t="shared" si="4"/>
        <v>#DIV/0!</v>
      </c>
      <c r="R65" s="64" t="e">
        <f t="shared" si="5"/>
        <v>#DIV/0!</v>
      </c>
      <c r="S65" s="67" t="e">
        <f t="shared" si="1"/>
        <v>#DIV/0!</v>
      </c>
      <c r="T65" s="64" t="e">
        <f t="shared" si="2"/>
        <v>#DIV/0!</v>
      </c>
      <c r="U65" s="68" t="e">
        <f t="shared" si="3"/>
        <v>#DIV/0!</v>
      </c>
    </row>
    <row r="66" spans="1:21" ht="25.5" x14ac:dyDescent="0.2">
      <c r="A66" s="61" t="s">
        <v>244</v>
      </c>
      <c r="B66" s="62" t="s">
        <v>253</v>
      </c>
      <c r="C66" s="62" t="s">
        <v>254</v>
      </c>
      <c r="D66" s="62" t="s">
        <v>361</v>
      </c>
      <c r="E66" s="63" t="s">
        <v>362</v>
      </c>
      <c r="F66" s="62" t="s">
        <v>257</v>
      </c>
      <c r="G66" s="62" t="s">
        <v>161</v>
      </c>
      <c r="H66" s="62" t="s">
        <v>12</v>
      </c>
      <c r="I66" s="62" t="s">
        <v>157</v>
      </c>
      <c r="J66" s="62"/>
      <c r="K66" s="64">
        <v>7.8</v>
      </c>
      <c r="L66" s="64">
        <f t="shared" si="0"/>
        <v>7.0352941176470587</v>
      </c>
      <c r="M66" s="65">
        <f>prodnorm44</f>
        <v>0</v>
      </c>
      <c r="N66" s="66">
        <f>dagwerk44</f>
        <v>0</v>
      </c>
      <c r="O66" s="62" t="s">
        <v>45</v>
      </c>
      <c r="P66" s="67">
        <f>uurtarief44</f>
        <v>0</v>
      </c>
      <c r="Q66" s="64" t="e">
        <f t="shared" si="4"/>
        <v>#DIV/0!</v>
      </c>
      <c r="R66" s="64" t="e">
        <f t="shared" si="5"/>
        <v>#DIV/0!</v>
      </c>
      <c r="S66" s="67" t="e">
        <f t="shared" si="1"/>
        <v>#DIV/0!</v>
      </c>
      <c r="T66" s="64" t="e">
        <f t="shared" si="2"/>
        <v>#DIV/0!</v>
      </c>
      <c r="U66" s="68" t="e">
        <f t="shared" si="3"/>
        <v>#DIV/0!</v>
      </c>
    </row>
    <row r="67" spans="1:21" x14ac:dyDescent="0.2">
      <c r="A67" s="61" t="s">
        <v>244</v>
      </c>
      <c r="B67" s="62" t="s">
        <v>253</v>
      </c>
      <c r="C67" s="62" t="s">
        <v>254</v>
      </c>
      <c r="D67" s="62" t="s">
        <v>363</v>
      </c>
      <c r="E67" s="63" t="s">
        <v>364</v>
      </c>
      <c r="F67" s="62" t="s">
        <v>257</v>
      </c>
      <c r="G67" s="62" t="s">
        <v>207</v>
      </c>
      <c r="H67" s="62" t="s">
        <v>23</v>
      </c>
      <c r="I67" s="62" t="s">
        <v>157</v>
      </c>
      <c r="J67" s="62"/>
      <c r="K67" s="64">
        <v>83.9</v>
      </c>
      <c r="L67" s="64">
        <f t="shared" si="0"/>
        <v>15.134901960784315</v>
      </c>
      <c r="M67" s="65">
        <f>prodnorm89</f>
        <v>0</v>
      </c>
      <c r="N67" s="66">
        <f>dagwerk89</f>
        <v>0</v>
      </c>
      <c r="O67" s="62" t="s">
        <v>45</v>
      </c>
      <c r="P67" s="67">
        <f>uurtarief89</f>
        <v>0</v>
      </c>
      <c r="Q67" s="64" t="e">
        <f t="shared" si="4"/>
        <v>#DIV/0!</v>
      </c>
      <c r="R67" s="64" t="e">
        <f t="shared" si="5"/>
        <v>#DIV/0!</v>
      </c>
      <c r="S67" s="67" t="e">
        <f t="shared" si="1"/>
        <v>#DIV/0!</v>
      </c>
      <c r="T67" s="64" t="e">
        <f t="shared" si="2"/>
        <v>#DIV/0!</v>
      </c>
      <c r="U67" s="68" t="e">
        <f t="shared" si="3"/>
        <v>#DIV/0!</v>
      </c>
    </row>
    <row r="68" spans="1:21" x14ac:dyDescent="0.2">
      <c r="A68" s="61" t="s">
        <v>244</v>
      </c>
      <c r="B68" s="62" t="s">
        <v>253</v>
      </c>
      <c r="C68" s="62" t="s">
        <v>254</v>
      </c>
      <c r="D68" s="62" t="s">
        <v>365</v>
      </c>
      <c r="E68" s="63" t="s">
        <v>366</v>
      </c>
      <c r="F68" s="62" t="s">
        <v>249</v>
      </c>
      <c r="G68" s="62" t="s">
        <v>169</v>
      </c>
      <c r="H68" s="62" t="s">
        <v>17</v>
      </c>
      <c r="I68" s="62" t="s">
        <v>157</v>
      </c>
      <c r="J68" s="62"/>
      <c r="K68" s="64">
        <v>3.3</v>
      </c>
      <c r="L68" s="64">
        <f t="shared" si="0"/>
        <v>1.4882352941176471</v>
      </c>
      <c r="M68" s="65">
        <f>prodnorm53</f>
        <v>0</v>
      </c>
      <c r="N68" s="66">
        <f>dagwerk53</f>
        <v>0</v>
      </c>
      <c r="O68" s="62" t="s">
        <v>45</v>
      </c>
      <c r="P68" s="67">
        <f>uurtarief53</f>
        <v>0</v>
      </c>
      <c r="Q68" s="64" t="e">
        <f t="shared" si="4"/>
        <v>#DIV/0!</v>
      </c>
      <c r="R68" s="64" t="e">
        <f t="shared" si="5"/>
        <v>#DIV/0!</v>
      </c>
      <c r="S68" s="67" t="e">
        <f t="shared" si="1"/>
        <v>#DIV/0!</v>
      </c>
      <c r="T68" s="64" t="e">
        <f t="shared" si="2"/>
        <v>#DIV/0!</v>
      </c>
      <c r="U68" s="68" t="e">
        <f t="shared" si="3"/>
        <v>#DIV/0!</v>
      </c>
    </row>
    <row r="69" spans="1:21" x14ac:dyDescent="0.2">
      <c r="A69" s="61" t="s">
        <v>244</v>
      </c>
      <c r="B69" s="62" t="s">
        <v>253</v>
      </c>
      <c r="C69" s="62" t="s">
        <v>254</v>
      </c>
      <c r="D69" s="62" t="s">
        <v>367</v>
      </c>
      <c r="E69" s="63" t="s">
        <v>368</v>
      </c>
      <c r="F69" s="62" t="s">
        <v>286</v>
      </c>
      <c r="G69" s="62" t="s">
        <v>207</v>
      </c>
      <c r="H69" s="62" t="s">
        <v>12</v>
      </c>
      <c r="I69" s="62" t="s">
        <v>157</v>
      </c>
      <c r="J69" s="62"/>
      <c r="K69" s="64">
        <v>66.7</v>
      </c>
      <c r="L69" s="64">
        <f t="shared" ref="L69:L132" si="9">K69*VLOOKUP(H69,dagsoorttabel1,2,FALSE)</f>
        <v>60.160784313725493</v>
      </c>
      <c r="M69" s="65">
        <f>prodnorm86</f>
        <v>0</v>
      </c>
      <c r="N69" s="66">
        <f>dagwerk86</f>
        <v>0</v>
      </c>
      <c r="O69" s="62" t="s">
        <v>45</v>
      </c>
      <c r="P69" s="67">
        <f>uurtarief86</f>
        <v>0</v>
      </c>
      <c r="Q69" s="64" t="e">
        <f t="shared" si="4"/>
        <v>#DIV/0!</v>
      </c>
      <c r="R69" s="64" t="e">
        <f t="shared" si="5"/>
        <v>#DIV/0!</v>
      </c>
      <c r="S69" s="67" t="e">
        <f t="shared" ref="S69:S132" si="10">ROUND(P69,2)*Q69</f>
        <v>#DIV/0!</v>
      </c>
      <c r="T69" s="64" t="e">
        <f t="shared" ref="T69:T132" si="11">Q69*dagenperjaar1</f>
        <v>#DIV/0!</v>
      </c>
      <c r="U69" s="68" t="e">
        <f t="shared" ref="U69:U132" si="12">T69*ROUND(P69,2)</f>
        <v>#DIV/0!</v>
      </c>
    </row>
    <row r="70" spans="1:21" x14ac:dyDescent="0.2">
      <c r="A70" s="61" t="s">
        <v>244</v>
      </c>
      <c r="B70" s="62" t="s">
        <v>253</v>
      </c>
      <c r="C70" s="62" t="s">
        <v>369</v>
      </c>
      <c r="D70" s="62" t="s">
        <v>370</v>
      </c>
      <c r="E70" s="63" t="s">
        <v>371</v>
      </c>
      <c r="F70" s="62" t="s">
        <v>257</v>
      </c>
      <c r="G70" s="62" t="s">
        <v>207</v>
      </c>
      <c r="H70" s="62" t="s">
        <v>11</v>
      </c>
      <c r="I70" s="62" t="s">
        <v>157</v>
      </c>
      <c r="J70" s="62"/>
      <c r="K70" s="64">
        <v>41.2</v>
      </c>
      <c r="L70" s="64">
        <f t="shared" si="9"/>
        <v>41.2</v>
      </c>
      <c r="M70" s="65">
        <f>prodnorm87</f>
        <v>0</v>
      </c>
      <c r="N70" s="66">
        <f>dagwerk87</f>
        <v>0</v>
      </c>
      <c r="O70" s="62" t="s">
        <v>45</v>
      </c>
      <c r="P70" s="67">
        <f>uurtarief87</f>
        <v>0</v>
      </c>
      <c r="Q70" s="64" t="e">
        <f t="shared" si="4"/>
        <v>#DIV/0!</v>
      </c>
      <c r="R70" s="64" t="e">
        <f t="shared" si="5"/>
        <v>#DIV/0!</v>
      </c>
      <c r="S70" s="67" t="e">
        <f t="shared" si="10"/>
        <v>#DIV/0!</v>
      </c>
      <c r="T70" s="64" t="e">
        <f t="shared" si="11"/>
        <v>#DIV/0!</v>
      </c>
      <c r="U70" s="68" t="e">
        <f t="shared" si="12"/>
        <v>#DIV/0!</v>
      </c>
    </row>
    <row r="71" spans="1:21" x14ac:dyDescent="0.2">
      <c r="A71" s="61" t="s">
        <v>244</v>
      </c>
      <c r="B71" s="62" t="s">
        <v>253</v>
      </c>
      <c r="C71" s="62" t="s">
        <v>369</v>
      </c>
      <c r="D71" s="62" t="s">
        <v>372</v>
      </c>
      <c r="E71" s="63" t="s">
        <v>373</v>
      </c>
      <c r="F71" s="62" t="s">
        <v>374</v>
      </c>
      <c r="G71" s="62" t="s">
        <v>181</v>
      </c>
      <c r="H71" s="62" t="s">
        <v>11</v>
      </c>
      <c r="I71" s="62" t="s">
        <v>157</v>
      </c>
      <c r="J71" s="62"/>
      <c r="K71" s="64">
        <v>119.8</v>
      </c>
      <c r="L71" s="64">
        <f t="shared" si="9"/>
        <v>119.8</v>
      </c>
      <c r="M71" s="65">
        <f>prodnorm63</f>
        <v>0</v>
      </c>
      <c r="N71" s="66">
        <f>dagwerk63</f>
        <v>0</v>
      </c>
      <c r="O71" s="62" t="s">
        <v>45</v>
      </c>
      <c r="P71" s="67">
        <f>uurtarief63</f>
        <v>0</v>
      </c>
      <c r="Q71" s="64" t="e">
        <f t="shared" si="4"/>
        <v>#DIV/0!</v>
      </c>
      <c r="R71" s="64" t="e">
        <f t="shared" si="5"/>
        <v>#DIV/0!</v>
      </c>
      <c r="S71" s="67" t="e">
        <f t="shared" si="10"/>
        <v>#DIV/0!</v>
      </c>
      <c r="T71" s="64" t="e">
        <f t="shared" si="11"/>
        <v>#DIV/0!</v>
      </c>
      <c r="U71" s="68" t="e">
        <f t="shared" si="12"/>
        <v>#DIV/0!</v>
      </c>
    </row>
    <row r="72" spans="1:21" x14ac:dyDescent="0.2">
      <c r="A72" s="61" t="s">
        <v>244</v>
      </c>
      <c r="B72" s="62" t="s">
        <v>253</v>
      </c>
      <c r="C72" s="62" t="s">
        <v>369</v>
      </c>
      <c r="D72" s="62" t="s">
        <v>375</v>
      </c>
      <c r="E72" s="63" t="s">
        <v>376</v>
      </c>
      <c r="F72" s="62" t="s">
        <v>249</v>
      </c>
      <c r="G72" s="62" t="s">
        <v>201</v>
      </c>
      <c r="H72" s="62" t="s">
        <v>11</v>
      </c>
      <c r="I72" s="62" t="s">
        <v>157</v>
      </c>
      <c r="J72" s="62"/>
      <c r="K72" s="64">
        <v>7.2</v>
      </c>
      <c r="L72" s="64">
        <f t="shared" si="9"/>
        <v>7.2</v>
      </c>
      <c r="M72" s="65">
        <f>prodnorm78</f>
        <v>0</v>
      </c>
      <c r="N72" s="66">
        <f>dagwerk78</f>
        <v>0</v>
      </c>
      <c r="O72" s="62" t="s">
        <v>45</v>
      </c>
      <c r="P72" s="67">
        <f>uurtarief78</f>
        <v>0</v>
      </c>
      <c r="Q72" s="64" t="e">
        <f t="shared" si="4"/>
        <v>#DIV/0!</v>
      </c>
      <c r="R72" s="64" t="e">
        <f t="shared" si="5"/>
        <v>#DIV/0!</v>
      </c>
      <c r="S72" s="67" t="e">
        <f t="shared" si="10"/>
        <v>#DIV/0!</v>
      </c>
      <c r="T72" s="64" t="e">
        <f t="shared" si="11"/>
        <v>#DIV/0!</v>
      </c>
      <c r="U72" s="68" t="e">
        <f t="shared" si="12"/>
        <v>#DIV/0!</v>
      </c>
    </row>
    <row r="73" spans="1:21" x14ac:dyDescent="0.2">
      <c r="A73" s="61" t="s">
        <v>244</v>
      </c>
      <c r="B73" s="62" t="s">
        <v>253</v>
      </c>
      <c r="C73" s="62" t="s">
        <v>369</v>
      </c>
      <c r="D73" s="62" t="s">
        <v>377</v>
      </c>
      <c r="E73" s="63" t="s">
        <v>378</v>
      </c>
      <c r="F73" s="62" t="s">
        <v>249</v>
      </c>
      <c r="G73" s="62" t="s">
        <v>201</v>
      </c>
      <c r="H73" s="62" t="s">
        <v>11</v>
      </c>
      <c r="I73" s="62" t="s">
        <v>157</v>
      </c>
      <c r="J73" s="62"/>
      <c r="K73" s="64">
        <v>7.2</v>
      </c>
      <c r="L73" s="64">
        <f t="shared" si="9"/>
        <v>7.2</v>
      </c>
      <c r="M73" s="65">
        <f>prodnorm78</f>
        <v>0</v>
      </c>
      <c r="N73" s="66">
        <f>dagwerk78</f>
        <v>0</v>
      </c>
      <c r="O73" s="62" t="s">
        <v>45</v>
      </c>
      <c r="P73" s="67">
        <f>uurtarief78</f>
        <v>0</v>
      </c>
      <c r="Q73" s="64" t="e">
        <f t="shared" si="4"/>
        <v>#DIV/0!</v>
      </c>
      <c r="R73" s="64" t="e">
        <f t="shared" si="5"/>
        <v>#DIV/0!</v>
      </c>
      <c r="S73" s="67" t="e">
        <f t="shared" si="10"/>
        <v>#DIV/0!</v>
      </c>
      <c r="T73" s="64" t="e">
        <f t="shared" si="11"/>
        <v>#DIV/0!</v>
      </c>
      <c r="U73" s="68" t="e">
        <f t="shared" si="12"/>
        <v>#DIV/0!</v>
      </c>
    </row>
    <row r="74" spans="1:21" x14ac:dyDescent="0.2">
      <c r="A74" s="61" t="s">
        <v>244</v>
      </c>
      <c r="B74" s="62" t="s">
        <v>253</v>
      </c>
      <c r="C74" s="62" t="s">
        <v>369</v>
      </c>
      <c r="D74" s="62" t="s">
        <v>379</v>
      </c>
      <c r="E74" s="63" t="s">
        <v>380</v>
      </c>
      <c r="F74" s="62" t="s">
        <v>257</v>
      </c>
      <c r="G74" s="62" t="s">
        <v>207</v>
      </c>
      <c r="H74" s="62" t="s">
        <v>11</v>
      </c>
      <c r="I74" s="62" t="s">
        <v>157</v>
      </c>
      <c r="J74" s="62"/>
      <c r="K74" s="64">
        <v>11.5</v>
      </c>
      <c r="L74" s="64">
        <f t="shared" si="9"/>
        <v>11.5</v>
      </c>
      <c r="M74" s="65">
        <f>prodnorm87</f>
        <v>0</v>
      </c>
      <c r="N74" s="66">
        <f>dagwerk87</f>
        <v>0</v>
      </c>
      <c r="O74" s="62" t="s">
        <v>45</v>
      </c>
      <c r="P74" s="67">
        <f>uurtarief87</f>
        <v>0</v>
      </c>
      <c r="Q74" s="64" t="e">
        <f t="shared" si="4"/>
        <v>#DIV/0!</v>
      </c>
      <c r="R74" s="64" t="e">
        <f t="shared" si="5"/>
        <v>#DIV/0!</v>
      </c>
      <c r="S74" s="67" t="e">
        <f t="shared" si="10"/>
        <v>#DIV/0!</v>
      </c>
      <c r="T74" s="64" t="e">
        <f t="shared" si="11"/>
        <v>#DIV/0!</v>
      </c>
      <c r="U74" s="68" t="e">
        <f t="shared" si="12"/>
        <v>#DIV/0!</v>
      </c>
    </row>
    <row r="75" spans="1:21" x14ac:dyDescent="0.2">
      <c r="A75" s="61" t="s">
        <v>244</v>
      </c>
      <c r="B75" s="62" t="s">
        <v>253</v>
      </c>
      <c r="C75" s="62" t="s">
        <v>369</v>
      </c>
      <c r="D75" s="62" t="s">
        <v>381</v>
      </c>
      <c r="E75" s="63" t="s">
        <v>382</v>
      </c>
      <c r="F75" s="62" t="s">
        <v>374</v>
      </c>
      <c r="G75" s="62" t="s">
        <v>181</v>
      </c>
      <c r="H75" s="62" t="s">
        <v>17</v>
      </c>
      <c r="I75" s="62" t="s">
        <v>157</v>
      </c>
      <c r="J75" s="62"/>
      <c r="K75" s="64">
        <v>126</v>
      </c>
      <c r="L75" s="64">
        <f t="shared" si="9"/>
        <v>56.82352941176471</v>
      </c>
      <c r="M75" s="65">
        <f>prodnorm60</f>
        <v>0</v>
      </c>
      <c r="N75" s="66">
        <f>dagwerk60</f>
        <v>0</v>
      </c>
      <c r="O75" s="62" t="s">
        <v>45</v>
      </c>
      <c r="P75" s="67">
        <f>uurtarief60</f>
        <v>0</v>
      </c>
      <c r="Q75" s="64" t="e">
        <f t="shared" ref="Q75:Q138" si="13">IF(ISBLANK(M75),0,L75/ROUND(M75,4))</f>
        <v>#DIV/0!</v>
      </c>
      <c r="R75" s="64" t="e">
        <f t="shared" ref="R75:R138" si="14">IF(ISBLANK(M75),0,Q75*ROUND(N75,2))</f>
        <v>#DIV/0!</v>
      </c>
      <c r="S75" s="67" t="e">
        <f t="shared" si="10"/>
        <v>#DIV/0!</v>
      </c>
      <c r="T75" s="64" t="e">
        <f t="shared" si="11"/>
        <v>#DIV/0!</v>
      </c>
      <c r="U75" s="68" t="e">
        <f t="shared" si="12"/>
        <v>#DIV/0!</v>
      </c>
    </row>
    <row r="76" spans="1:21" ht="25.5" x14ac:dyDescent="0.2">
      <c r="A76" s="61" t="s">
        <v>244</v>
      </c>
      <c r="B76" s="62" t="s">
        <v>253</v>
      </c>
      <c r="C76" s="62" t="s">
        <v>369</v>
      </c>
      <c r="D76" s="62" t="s">
        <v>383</v>
      </c>
      <c r="E76" s="63" t="s">
        <v>384</v>
      </c>
      <c r="F76" s="62" t="s">
        <v>257</v>
      </c>
      <c r="G76" s="62" t="s">
        <v>209</v>
      </c>
      <c r="H76" s="62" t="s">
        <v>11</v>
      </c>
      <c r="I76" s="62" t="s">
        <v>157</v>
      </c>
      <c r="J76" s="62"/>
      <c r="K76" s="64">
        <v>53</v>
      </c>
      <c r="L76" s="64">
        <f t="shared" si="9"/>
        <v>53</v>
      </c>
      <c r="M76" s="65">
        <f>prodnorm92</f>
        <v>0</v>
      </c>
      <c r="N76" s="66">
        <f>dagwerk92</f>
        <v>0</v>
      </c>
      <c r="O76" s="62" t="s">
        <v>45</v>
      </c>
      <c r="P76" s="67">
        <f>uurtarief92</f>
        <v>0</v>
      </c>
      <c r="Q76" s="64" t="e">
        <f t="shared" si="13"/>
        <v>#DIV/0!</v>
      </c>
      <c r="R76" s="64" t="e">
        <f t="shared" si="14"/>
        <v>#DIV/0!</v>
      </c>
      <c r="S76" s="67" t="e">
        <f t="shared" si="10"/>
        <v>#DIV/0!</v>
      </c>
      <c r="T76" s="64" t="e">
        <f t="shared" si="11"/>
        <v>#DIV/0!</v>
      </c>
      <c r="U76" s="68" t="e">
        <f t="shared" si="12"/>
        <v>#DIV/0!</v>
      </c>
    </row>
    <row r="77" spans="1:21" x14ac:dyDescent="0.2">
      <c r="A77" s="61" t="s">
        <v>244</v>
      </c>
      <c r="B77" s="62" t="s">
        <v>253</v>
      </c>
      <c r="C77" s="62" t="s">
        <v>369</v>
      </c>
      <c r="D77" s="62" t="s">
        <v>385</v>
      </c>
      <c r="E77" s="63" t="s">
        <v>386</v>
      </c>
      <c r="F77" s="62" t="s">
        <v>387</v>
      </c>
      <c r="G77" s="62" t="s">
        <v>163</v>
      </c>
      <c r="H77" s="62" t="s">
        <v>16</v>
      </c>
      <c r="I77" s="62" t="s">
        <v>157</v>
      </c>
      <c r="J77" s="62"/>
      <c r="K77" s="64">
        <v>18.2</v>
      </c>
      <c r="L77" s="64">
        <f t="shared" si="9"/>
        <v>9.0643137254901962</v>
      </c>
      <c r="M77" s="65">
        <f>prodnorm49</f>
        <v>0</v>
      </c>
      <c r="N77" s="66">
        <f>dagwerk49</f>
        <v>0</v>
      </c>
      <c r="O77" s="62" t="s">
        <v>45</v>
      </c>
      <c r="P77" s="67">
        <f>uurtarief49</f>
        <v>0</v>
      </c>
      <c r="Q77" s="64" t="e">
        <f t="shared" si="13"/>
        <v>#DIV/0!</v>
      </c>
      <c r="R77" s="64" t="e">
        <f t="shared" si="14"/>
        <v>#DIV/0!</v>
      </c>
      <c r="S77" s="67" t="e">
        <f t="shared" si="10"/>
        <v>#DIV/0!</v>
      </c>
      <c r="T77" s="64" t="e">
        <f t="shared" si="11"/>
        <v>#DIV/0!</v>
      </c>
      <c r="U77" s="68" t="e">
        <f t="shared" si="12"/>
        <v>#DIV/0!</v>
      </c>
    </row>
    <row r="78" spans="1:21" ht="25.5" x14ac:dyDescent="0.2">
      <c r="A78" s="61" t="s">
        <v>244</v>
      </c>
      <c r="B78" s="62" t="s">
        <v>253</v>
      </c>
      <c r="C78" s="62" t="s">
        <v>369</v>
      </c>
      <c r="D78" s="62" t="s">
        <v>388</v>
      </c>
      <c r="E78" s="63" t="s">
        <v>389</v>
      </c>
      <c r="F78" s="62" t="s">
        <v>387</v>
      </c>
      <c r="G78" s="62" t="s">
        <v>183</v>
      </c>
      <c r="H78" s="62" t="s">
        <v>12</v>
      </c>
      <c r="I78" s="62" t="s">
        <v>157</v>
      </c>
      <c r="J78" s="62"/>
      <c r="K78" s="64">
        <v>47.5</v>
      </c>
      <c r="L78" s="64">
        <f t="shared" si="9"/>
        <v>42.843137254901961</v>
      </c>
      <c r="M78" s="65">
        <f>prodnorm65</f>
        <v>0</v>
      </c>
      <c r="N78" s="66">
        <f>dagwerk65</f>
        <v>0</v>
      </c>
      <c r="O78" s="62" t="s">
        <v>45</v>
      </c>
      <c r="P78" s="67">
        <f>uurtarief65</f>
        <v>0</v>
      </c>
      <c r="Q78" s="64" t="e">
        <f t="shared" si="13"/>
        <v>#DIV/0!</v>
      </c>
      <c r="R78" s="64" t="e">
        <f t="shared" si="14"/>
        <v>#DIV/0!</v>
      </c>
      <c r="S78" s="67" t="e">
        <f t="shared" si="10"/>
        <v>#DIV/0!</v>
      </c>
      <c r="T78" s="64" t="e">
        <f t="shared" si="11"/>
        <v>#DIV/0!</v>
      </c>
      <c r="U78" s="68" t="e">
        <f t="shared" si="12"/>
        <v>#DIV/0!</v>
      </c>
    </row>
    <row r="79" spans="1:21" x14ac:dyDescent="0.2">
      <c r="A79" s="61" t="s">
        <v>244</v>
      </c>
      <c r="B79" s="62" t="s">
        <v>253</v>
      </c>
      <c r="C79" s="62" t="s">
        <v>369</v>
      </c>
      <c r="D79" s="62" t="s">
        <v>390</v>
      </c>
      <c r="E79" s="63" t="s">
        <v>391</v>
      </c>
      <c r="F79" s="62" t="s">
        <v>257</v>
      </c>
      <c r="G79" s="62" t="s">
        <v>207</v>
      </c>
      <c r="H79" s="62" t="s">
        <v>11</v>
      </c>
      <c r="I79" s="62" t="s">
        <v>157</v>
      </c>
      <c r="J79" s="62"/>
      <c r="K79" s="64">
        <v>205</v>
      </c>
      <c r="L79" s="64">
        <f t="shared" si="9"/>
        <v>205</v>
      </c>
      <c r="M79" s="65">
        <f>prodnorm87</f>
        <v>0</v>
      </c>
      <c r="N79" s="66">
        <f>dagwerk87</f>
        <v>0</v>
      </c>
      <c r="O79" s="62" t="s">
        <v>45</v>
      </c>
      <c r="P79" s="67">
        <f>uurtarief87</f>
        <v>0</v>
      </c>
      <c r="Q79" s="64" t="e">
        <f t="shared" si="13"/>
        <v>#DIV/0!</v>
      </c>
      <c r="R79" s="64" t="e">
        <f t="shared" si="14"/>
        <v>#DIV/0!</v>
      </c>
      <c r="S79" s="67" t="e">
        <f t="shared" si="10"/>
        <v>#DIV/0!</v>
      </c>
      <c r="T79" s="64" t="e">
        <f t="shared" si="11"/>
        <v>#DIV/0!</v>
      </c>
      <c r="U79" s="68" t="e">
        <f t="shared" si="12"/>
        <v>#DIV/0!</v>
      </c>
    </row>
    <row r="80" spans="1:21" x14ac:dyDescent="0.2">
      <c r="A80" s="61" t="s">
        <v>244</v>
      </c>
      <c r="B80" s="62" t="s">
        <v>253</v>
      </c>
      <c r="C80" s="62" t="s">
        <v>369</v>
      </c>
      <c r="D80" s="62" t="s">
        <v>392</v>
      </c>
      <c r="E80" s="63" t="s">
        <v>393</v>
      </c>
      <c r="F80" s="62" t="s">
        <v>257</v>
      </c>
      <c r="G80" s="62" t="s">
        <v>181</v>
      </c>
      <c r="H80" s="62" t="s">
        <v>23</v>
      </c>
      <c r="I80" s="62" t="s">
        <v>157</v>
      </c>
      <c r="J80" s="62"/>
      <c r="K80" s="64">
        <v>10</v>
      </c>
      <c r="L80" s="64">
        <f t="shared" si="9"/>
        <v>1.803921568627451</v>
      </c>
      <c r="M80" s="65">
        <f>prodnorm64</f>
        <v>0</v>
      </c>
      <c r="N80" s="66">
        <f>dagwerk64</f>
        <v>0</v>
      </c>
      <c r="O80" s="62" t="s">
        <v>45</v>
      </c>
      <c r="P80" s="67">
        <f>uurtarief64</f>
        <v>0</v>
      </c>
      <c r="Q80" s="64" t="e">
        <f t="shared" si="13"/>
        <v>#DIV/0!</v>
      </c>
      <c r="R80" s="64" t="e">
        <f t="shared" si="14"/>
        <v>#DIV/0!</v>
      </c>
      <c r="S80" s="67" t="e">
        <f t="shared" si="10"/>
        <v>#DIV/0!</v>
      </c>
      <c r="T80" s="64" t="e">
        <f t="shared" si="11"/>
        <v>#DIV/0!</v>
      </c>
      <c r="U80" s="68" t="e">
        <f t="shared" si="12"/>
        <v>#DIV/0!</v>
      </c>
    </row>
    <row r="81" spans="1:21" x14ac:dyDescent="0.2">
      <c r="A81" s="61" t="s">
        <v>244</v>
      </c>
      <c r="B81" s="62" t="s">
        <v>253</v>
      </c>
      <c r="C81" s="62" t="s">
        <v>369</v>
      </c>
      <c r="D81" s="62" t="s">
        <v>394</v>
      </c>
      <c r="E81" s="63" t="s">
        <v>395</v>
      </c>
      <c r="F81" s="62" t="s">
        <v>257</v>
      </c>
      <c r="G81" s="62" t="s">
        <v>183</v>
      </c>
      <c r="H81" s="62" t="s">
        <v>12</v>
      </c>
      <c r="I81" s="62" t="s">
        <v>157</v>
      </c>
      <c r="J81" s="62"/>
      <c r="K81" s="64">
        <v>8.5</v>
      </c>
      <c r="L81" s="64">
        <f t="shared" si="9"/>
        <v>7.666666666666667</v>
      </c>
      <c r="M81" s="65">
        <f>prodnorm65</f>
        <v>0</v>
      </c>
      <c r="N81" s="66">
        <f>dagwerk65</f>
        <v>0</v>
      </c>
      <c r="O81" s="62" t="s">
        <v>45</v>
      </c>
      <c r="P81" s="67">
        <f>uurtarief65</f>
        <v>0</v>
      </c>
      <c r="Q81" s="64" t="e">
        <f t="shared" si="13"/>
        <v>#DIV/0!</v>
      </c>
      <c r="R81" s="64" t="e">
        <f t="shared" si="14"/>
        <v>#DIV/0!</v>
      </c>
      <c r="S81" s="67" t="e">
        <f t="shared" si="10"/>
        <v>#DIV/0!</v>
      </c>
      <c r="T81" s="64" t="e">
        <f t="shared" si="11"/>
        <v>#DIV/0!</v>
      </c>
      <c r="U81" s="68" t="e">
        <f t="shared" si="12"/>
        <v>#DIV/0!</v>
      </c>
    </row>
    <row r="82" spans="1:21" x14ac:dyDescent="0.2">
      <c r="A82" s="61" t="s">
        <v>244</v>
      </c>
      <c r="B82" s="62" t="s">
        <v>253</v>
      </c>
      <c r="C82" s="62" t="s">
        <v>369</v>
      </c>
      <c r="D82" s="62" t="s">
        <v>396</v>
      </c>
      <c r="E82" s="63" t="s">
        <v>397</v>
      </c>
      <c r="F82" s="62" t="s">
        <v>257</v>
      </c>
      <c r="G82" s="62" t="s">
        <v>183</v>
      </c>
      <c r="H82" s="62" t="s">
        <v>12</v>
      </c>
      <c r="I82" s="62" t="s">
        <v>157</v>
      </c>
      <c r="J82" s="62"/>
      <c r="K82" s="64">
        <v>10.199999999999999</v>
      </c>
      <c r="L82" s="64">
        <f t="shared" si="9"/>
        <v>9.1999999999999993</v>
      </c>
      <c r="M82" s="65">
        <f>prodnorm65</f>
        <v>0</v>
      </c>
      <c r="N82" s="66">
        <f>dagwerk65</f>
        <v>0</v>
      </c>
      <c r="O82" s="62" t="s">
        <v>45</v>
      </c>
      <c r="P82" s="67">
        <f>uurtarief65</f>
        <v>0</v>
      </c>
      <c r="Q82" s="64" t="e">
        <f t="shared" si="13"/>
        <v>#DIV/0!</v>
      </c>
      <c r="R82" s="64" t="e">
        <f t="shared" si="14"/>
        <v>#DIV/0!</v>
      </c>
      <c r="S82" s="67" t="e">
        <f t="shared" si="10"/>
        <v>#DIV/0!</v>
      </c>
      <c r="T82" s="64" t="e">
        <f t="shared" si="11"/>
        <v>#DIV/0!</v>
      </c>
      <c r="U82" s="68" t="e">
        <f t="shared" si="12"/>
        <v>#DIV/0!</v>
      </c>
    </row>
    <row r="83" spans="1:21" x14ac:dyDescent="0.2">
      <c r="A83" s="61" t="s">
        <v>244</v>
      </c>
      <c r="B83" s="62" t="s">
        <v>253</v>
      </c>
      <c r="C83" s="62" t="s">
        <v>369</v>
      </c>
      <c r="D83" s="62" t="s">
        <v>398</v>
      </c>
      <c r="E83" s="63" t="s">
        <v>399</v>
      </c>
      <c r="F83" s="62" t="s">
        <v>257</v>
      </c>
      <c r="G83" s="62" t="s">
        <v>181</v>
      </c>
      <c r="H83" s="62" t="s">
        <v>17</v>
      </c>
      <c r="I83" s="62" t="s">
        <v>157</v>
      </c>
      <c r="J83" s="62"/>
      <c r="K83" s="64">
        <v>13.7</v>
      </c>
      <c r="L83" s="64">
        <f t="shared" si="9"/>
        <v>6.178431372549019</v>
      </c>
      <c r="M83" s="65">
        <f>prodnorm60</f>
        <v>0</v>
      </c>
      <c r="N83" s="66">
        <f>dagwerk60</f>
        <v>0</v>
      </c>
      <c r="O83" s="62" t="s">
        <v>45</v>
      </c>
      <c r="P83" s="67">
        <f>uurtarief60</f>
        <v>0</v>
      </c>
      <c r="Q83" s="64" t="e">
        <f t="shared" si="13"/>
        <v>#DIV/0!</v>
      </c>
      <c r="R83" s="64" t="e">
        <f t="shared" si="14"/>
        <v>#DIV/0!</v>
      </c>
      <c r="S83" s="67" t="e">
        <f t="shared" si="10"/>
        <v>#DIV/0!</v>
      </c>
      <c r="T83" s="64" t="e">
        <f t="shared" si="11"/>
        <v>#DIV/0!</v>
      </c>
      <c r="U83" s="68" t="e">
        <f t="shared" si="12"/>
        <v>#DIV/0!</v>
      </c>
    </row>
    <row r="84" spans="1:21" ht="25.5" x14ac:dyDescent="0.2">
      <c r="A84" s="61" t="s">
        <v>244</v>
      </c>
      <c r="B84" s="62" t="s">
        <v>253</v>
      </c>
      <c r="C84" s="62" t="s">
        <v>369</v>
      </c>
      <c r="D84" s="62" t="s">
        <v>400</v>
      </c>
      <c r="E84" s="63" t="s">
        <v>401</v>
      </c>
      <c r="F84" s="62" t="s">
        <v>257</v>
      </c>
      <c r="G84" s="62" t="s">
        <v>205</v>
      </c>
      <c r="H84" s="62" t="s">
        <v>22</v>
      </c>
      <c r="I84" s="62" t="s">
        <v>157</v>
      </c>
      <c r="J84" s="62"/>
      <c r="K84" s="64">
        <v>22.6</v>
      </c>
      <c r="L84" s="64">
        <f t="shared" si="9"/>
        <v>4.5200000000000005</v>
      </c>
      <c r="M84" s="65">
        <f>prodnorm83</f>
        <v>0</v>
      </c>
      <c r="N84" s="66">
        <f>dagwerk83</f>
        <v>0</v>
      </c>
      <c r="O84" s="62" t="s">
        <v>45</v>
      </c>
      <c r="P84" s="67">
        <f>uurtarief83</f>
        <v>0</v>
      </c>
      <c r="Q84" s="64" t="e">
        <f t="shared" si="13"/>
        <v>#DIV/0!</v>
      </c>
      <c r="R84" s="64" t="e">
        <f t="shared" si="14"/>
        <v>#DIV/0!</v>
      </c>
      <c r="S84" s="67" t="e">
        <f t="shared" si="10"/>
        <v>#DIV/0!</v>
      </c>
      <c r="T84" s="64" t="e">
        <f t="shared" si="11"/>
        <v>#DIV/0!</v>
      </c>
      <c r="U84" s="68" t="e">
        <f t="shared" si="12"/>
        <v>#DIV/0!</v>
      </c>
    </row>
    <row r="85" spans="1:21" x14ac:dyDescent="0.2">
      <c r="A85" s="61" t="s">
        <v>244</v>
      </c>
      <c r="B85" s="62" t="s">
        <v>253</v>
      </c>
      <c r="C85" s="62" t="s">
        <v>369</v>
      </c>
      <c r="D85" s="62" t="s">
        <v>402</v>
      </c>
      <c r="E85" s="63" t="s">
        <v>399</v>
      </c>
      <c r="F85" s="62" t="s">
        <v>374</v>
      </c>
      <c r="G85" s="62" t="s">
        <v>181</v>
      </c>
      <c r="H85" s="62" t="s">
        <v>17</v>
      </c>
      <c r="I85" s="62" t="s">
        <v>157</v>
      </c>
      <c r="J85" s="62"/>
      <c r="K85" s="64">
        <v>274.3</v>
      </c>
      <c r="L85" s="64">
        <f t="shared" si="9"/>
        <v>123.70392156862746</v>
      </c>
      <c r="M85" s="65">
        <f>prodnorm60</f>
        <v>0</v>
      </c>
      <c r="N85" s="66">
        <f>dagwerk60</f>
        <v>0</v>
      </c>
      <c r="O85" s="62" t="s">
        <v>45</v>
      </c>
      <c r="P85" s="67">
        <f>uurtarief60</f>
        <v>0</v>
      </c>
      <c r="Q85" s="64" t="e">
        <f t="shared" si="13"/>
        <v>#DIV/0!</v>
      </c>
      <c r="R85" s="64" t="e">
        <f t="shared" si="14"/>
        <v>#DIV/0!</v>
      </c>
      <c r="S85" s="67" t="e">
        <f t="shared" si="10"/>
        <v>#DIV/0!</v>
      </c>
      <c r="T85" s="64" t="e">
        <f t="shared" si="11"/>
        <v>#DIV/0!</v>
      </c>
      <c r="U85" s="68" t="e">
        <f t="shared" si="12"/>
        <v>#DIV/0!</v>
      </c>
    </row>
    <row r="86" spans="1:21" x14ac:dyDescent="0.2">
      <c r="A86" s="61" t="s">
        <v>244</v>
      </c>
      <c r="B86" s="62" t="s">
        <v>253</v>
      </c>
      <c r="C86" s="62" t="s">
        <v>403</v>
      </c>
      <c r="D86" s="62" t="s">
        <v>244</v>
      </c>
      <c r="E86" s="63" t="s">
        <v>404</v>
      </c>
      <c r="F86" s="62" t="s">
        <v>257</v>
      </c>
      <c r="G86" s="62" t="s">
        <v>207</v>
      </c>
      <c r="H86" s="62" t="s">
        <v>12</v>
      </c>
      <c r="I86" s="62" t="s">
        <v>157</v>
      </c>
      <c r="J86" s="62"/>
      <c r="K86" s="64">
        <v>171.8</v>
      </c>
      <c r="L86" s="64">
        <f t="shared" si="9"/>
        <v>154.95686274509805</v>
      </c>
      <c r="M86" s="65">
        <f>prodnorm86</f>
        <v>0</v>
      </c>
      <c r="N86" s="66">
        <f>dagwerk86</f>
        <v>0</v>
      </c>
      <c r="O86" s="62" t="s">
        <v>45</v>
      </c>
      <c r="P86" s="67">
        <f>uurtarief86</f>
        <v>0</v>
      </c>
      <c r="Q86" s="64" t="e">
        <f t="shared" si="13"/>
        <v>#DIV/0!</v>
      </c>
      <c r="R86" s="64" t="e">
        <f t="shared" si="14"/>
        <v>#DIV/0!</v>
      </c>
      <c r="S86" s="67" t="e">
        <f t="shared" si="10"/>
        <v>#DIV/0!</v>
      </c>
      <c r="T86" s="64" t="e">
        <f t="shared" si="11"/>
        <v>#DIV/0!</v>
      </c>
      <c r="U86" s="68" t="e">
        <f t="shared" si="12"/>
        <v>#DIV/0!</v>
      </c>
    </row>
    <row r="87" spans="1:21" x14ac:dyDescent="0.2">
      <c r="A87" s="61" t="s">
        <v>244</v>
      </c>
      <c r="B87" s="62" t="s">
        <v>253</v>
      </c>
      <c r="C87" s="62" t="s">
        <v>403</v>
      </c>
      <c r="D87" s="62" t="s">
        <v>405</v>
      </c>
      <c r="E87" s="63" t="s">
        <v>406</v>
      </c>
      <c r="F87" s="62" t="s">
        <v>257</v>
      </c>
      <c r="G87" s="62" t="s">
        <v>183</v>
      </c>
      <c r="H87" s="62" t="s">
        <v>12</v>
      </c>
      <c r="I87" s="62" t="s">
        <v>157</v>
      </c>
      <c r="J87" s="62"/>
      <c r="K87" s="64">
        <v>28.4</v>
      </c>
      <c r="L87" s="64">
        <f t="shared" si="9"/>
        <v>25.615686274509802</v>
      </c>
      <c r="M87" s="65">
        <f>prodnorm65</f>
        <v>0</v>
      </c>
      <c r="N87" s="66">
        <f>dagwerk65</f>
        <v>0</v>
      </c>
      <c r="O87" s="62" t="s">
        <v>45</v>
      </c>
      <c r="P87" s="67">
        <f>uurtarief65</f>
        <v>0</v>
      </c>
      <c r="Q87" s="64" t="e">
        <f t="shared" si="13"/>
        <v>#DIV/0!</v>
      </c>
      <c r="R87" s="64" t="e">
        <f t="shared" si="14"/>
        <v>#DIV/0!</v>
      </c>
      <c r="S87" s="67" t="e">
        <f t="shared" si="10"/>
        <v>#DIV/0!</v>
      </c>
      <c r="T87" s="64" t="e">
        <f t="shared" si="11"/>
        <v>#DIV/0!</v>
      </c>
      <c r="U87" s="68" t="e">
        <f t="shared" si="12"/>
        <v>#DIV/0!</v>
      </c>
    </row>
    <row r="88" spans="1:21" x14ac:dyDescent="0.2">
      <c r="A88" s="61" t="s">
        <v>244</v>
      </c>
      <c r="B88" s="62" t="s">
        <v>253</v>
      </c>
      <c r="C88" s="62" t="s">
        <v>403</v>
      </c>
      <c r="D88" s="62" t="s">
        <v>407</v>
      </c>
      <c r="E88" s="63" t="s">
        <v>376</v>
      </c>
      <c r="F88" s="62" t="s">
        <v>249</v>
      </c>
      <c r="G88" s="62" t="s">
        <v>201</v>
      </c>
      <c r="H88" s="62" t="s">
        <v>12</v>
      </c>
      <c r="I88" s="62" t="s">
        <v>157</v>
      </c>
      <c r="J88" s="62"/>
      <c r="K88" s="64">
        <v>11.5</v>
      </c>
      <c r="L88" s="64">
        <f t="shared" si="9"/>
        <v>10.372549019607844</v>
      </c>
      <c r="M88" s="65">
        <f>prodnorm77</f>
        <v>0</v>
      </c>
      <c r="N88" s="66">
        <f>dagwerk77</f>
        <v>0</v>
      </c>
      <c r="O88" s="62" t="s">
        <v>45</v>
      </c>
      <c r="P88" s="67">
        <f>uurtarief77</f>
        <v>0</v>
      </c>
      <c r="Q88" s="64" t="e">
        <f t="shared" si="13"/>
        <v>#DIV/0!</v>
      </c>
      <c r="R88" s="64" t="e">
        <f t="shared" si="14"/>
        <v>#DIV/0!</v>
      </c>
      <c r="S88" s="67" t="e">
        <f t="shared" si="10"/>
        <v>#DIV/0!</v>
      </c>
      <c r="T88" s="64" t="e">
        <f t="shared" si="11"/>
        <v>#DIV/0!</v>
      </c>
      <c r="U88" s="68" t="e">
        <f t="shared" si="12"/>
        <v>#DIV/0!</v>
      </c>
    </row>
    <row r="89" spans="1:21" x14ac:dyDescent="0.2">
      <c r="A89" s="61" t="s">
        <v>244</v>
      </c>
      <c r="B89" s="62" t="s">
        <v>253</v>
      </c>
      <c r="C89" s="62" t="s">
        <v>403</v>
      </c>
      <c r="D89" s="62" t="s">
        <v>408</v>
      </c>
      <c r="E89" s="63" t="s">
        <v>378</v>
      </c>
      <c r="F89" s="62" t="s">
        <v>249</v>
      </c>
      <c r="G89" s="62" t="s">
        <v>201</v>
      </c>
      <c r="H89" s="62" t="s">
        <v>12</v>
      </c>
      <c r="I89" s="62" t="s">
        <v>157</v>
      </c>
      <c r="J89" s="62"/>
      <c r="K89" s="64">
        <v>17.8</v>
      </c>
      <c r="L89" s="64">
        <f t="shared" si="9"/>
        <v>16.054901960784314</v>
      </c>
      <c r="M89" s="65">
        <f>prodnorm77</f>
        <v>0</v>
      </c>
      <c r="N89" s="66">
        <f>dagwerk77</f>
        <v>0</v>
      </c>
      <c r="O89" s="62" t="s">
        <v>45</v>
      </c>
      <c r="P89" s="67">
        <f>uurtarief77</f>
        <v>0</v>
      </c>
      <c r="Q89" s="64" t="e">
        <f t="shared" si="13"/>
        <v>#DIV/0!</v>
      </c>
      <c r="R89" s="64" t="e">
        <f t="shared" si="14"/>
        <v>#DIV/0!</v>
      </c>
      <c r="S89" s="67" t="e">
        <f t="shared" si="10"/>
        <v>#DIV/0!</v>
      </c>
      <c r="T89" s="64" t="e">
        <f t="shared" si="11"/>
        <v>#DIV/0!</v>
      </c>
      <c r="U89" s="68" t="e">
        <f t="shared" si="12"/>
        <v>#DIV/0!</v>
      </c>
    </row>
    <row r="90" spans="1:21" x14ac:dyDescent="0.2">
      <c r="A90" s="61" t="s">
        <v>244</v>
      </c>
      <c r="B90" s="62" t="s">
        <v>253</v>
      </c>
      <c r="C90" s="62" t="s">
        <v>403</v>
      </c>
      <c r="D90" s="62" t="s">
        <v>409</v>
      </c>
      <c r="E90" s="63" t="s">
        <v>410</v>
      </c>
      <c r="F90" s="62" t="s">
        <v>249</v>
      </c>
      <c r="G90" s="62" t="s">
        <v>169</v>
      </c>
      <c r="H90" s="62" t="s">
        <v>12</v>
      </c>
      <c r="I90" s="62" t="s">
        <v>157</v>
      </c>
      <c r="J90" s="62"/>
      <c r="K90" s="64">
        <v>23.2</v>
      </c>
      <c r="L90" s="64">
        <f t="shared" si="9"/>
        <v>20.925490196078432</v>
      </c>
      <c r="M90" s="65">
        <f>prodnorm54</f>
        <v>0</v>
      </c>
      <c r="N90" s="66">
        <f>dagwerk54</f>
        <v>0</v>
      </c>
      <c r="O90" s="62" t="s">
        <v>45</v>
      </c>
      <c r="P90" s="67">
        <f>uurtarief54</f>
        <v>0</v>
      </c>
      <c r="Q90" s="64" t="e">
        <f t="shared" si="13"/>
        <v>#DIV/0!</v>
      </c>
      <c r="R90" s="64" t="e">
        <f t="shared" si="14"/>
        <v>#DIV/0!</v>
      </c>
      <c r="S90" s="67" t="e">
        <f t="shared" si="10"/>
        <v>#DIV/0!</v>
      </c>
      <c r="T90" s="64" t="e">
        <f t="shared" si="11"/>
        <v>#DIV/0!</v>
      </c>
      <c r="U90" s="68" t="e">
        <f t="shared" si="12"/>
        <v>#DIV/0!</v>
      </c>
    </row>
    <row r="91" spans="1:21" x14ac:dyDescent="0.2">
      <c r="A91" s="61" t="s">
        <v>244</v>
      </c>
      <c r="B91" s="62" t="s">
        <v>253</v>
      </c>
      <c r="C91" s="62" t="s">
        <v>403</v>
      </c>
      <c r="D91" s="62" t="s">
        <v>411</v>
      </c>
      <c r="E91" s="63" t="s">
        <v>412</v>
      </c>
      <c r="F91" s="62" t="s">
        <v>257</v>
      </c>
      <c r="G91" s="62" t="s">
        <v>183</v>
      </c>
      <c r="H91" s="62" t="s">
        <v>12</v>
      </c>
      <c r="I91" s="62" t="s">
        <v>157</v>
      </c>
      <c r="J91" s="62"/>
      <c r="K91" s="64">
        <v>26.8</v>
      </c>
      <c r="L91" s="64">
        <f t="shared" si="9"/>
        <v>24.172549019607843</v>
      </c>
      <c r="M91" s="65">
        <f>prodnorm65</f>
        <v>0</v>
      </c>
      <c r="N91" s="66">
        <f>dagwerk65</f>
        <v>0</v>
      </c>
      <c r="O91" s="62" t="s">
        <v>45</v>
      </c>
      <c r="P91" s="67">
        <f>uurtarief65</f>
        <v>0</v>
      </c>
      <c r="Q91" s="64" t="e">
        <f t="shared" si="13"/>
        <v>#DIV/0!</v>
      </c>
      <c r="R91" s="64" t="e">
        <f t="shared" si="14"/>
        <v>#DIV/0!</v>
      </c>
      <c r="S91" s="67" t="e">
        <f t="shared" si="10"/>
        <v>#DIV/0!</v>
      </c>
      <c r="T91" s="64" t="e">
        <f t="shared" si="11"/>
        <v>#DIV/0!</v>
      </c>
      <c r="U91" s="68" t="e">
        <f t="shared" si="12"/>
        <v>#DIV/0!</v>
      </c>
    </row>
    <row r="92" spans="1:21" ht="25.5" x14ac:dyDescent="0.2">
      <c r="A92" s="61" t="s">
        <v>244</v>
      </c>
      <c r="B92" s="62" t="s">
        <v>253</v>
      </c>
      <c r="C92" s="62" t="s">
        <v>403</v>
      </c>
      <c r="D92" s="62" t="s">
        <v>413</v>
      </c>
      <c r="E92" s="63" t="s">
        <v>414</v>
      </c>
      <c r="F92" s="62" t="s">
        <v>249</v>
      </c>
      <c r="G92" s="62" t="s">
        <v>201</v>
      </c>
      <c r="H92" s="62" t="s">
        <v>23</v>
      </c>
      <c r="I92" s="62" t="s">
        <v>157</v>
      </c>
      <c r="J92" s="62"/>
      <c r="K92" s="64">
        <v>5.5</v>
      </c>
      <c r="L92" s="64">
        <f t="shared" si="9"/>
        <v>0.99215686274509807</v>
      </c>
      <c r="M92" s="65">
        <f>prodnorm79</f>
        <v>0</v>
      </c>
      <c r="N92" s="66">
        <f>dagwerk79</f>
        <v>0</v>
      </c>
      <c r="O92" s="62" t="s">
        <v>45</v>
      </c>
      <c r="P92" s="67">
        <f>uurtarief79</f>
        <v>0</v>
      </c>
      <c r="Q92" s="64" t="e">
        <f t="shared" si="13"/>
        <v>#DIV/0!</v>
      </c>
      <c r="R92" s="64" t="e">
        <f t="shared" si="14"/>
        <v>#DIV/0!</v>
      </c>
      <c r="S92" s="67" t="e">
        <f t="shared" si="10"/>
        <v>#DIV/0!</v>
      </c>
      <c r="T92" s="64" t="e">
        <f t="shared" si="11"/>
        <v>#DIV/0!</v>
      </c>
      <c r="U92" s="68" t="e">
        <f t="shared" si="12"/>
        <v>#DIV/0!</v>
      </c>
    </row>
    <row r="93" spans="1:21" x14ac:dyDescent="0.2">
      <c r="A93" s="61" t="s">
        <v>244</v>
      </c>
      <c r="B93" s="62" t="s">
        <v>253</v>
      </c>
      <c r="C93" s="62" t="s">
        <v>403</v>
      </c>
      <c r="D93" s="62" t="s">
        <v>415</v>
      </c>
      <c r="E93" s="63" t="s">
        <v>416</v>
      </c>
      <c r="F93" s="62" t="s">
        <v>257</v>
      </c>
      <c r="G93" s="62" t="s">
        <v>183</v>
      </c>
      <c r="H93" s="62" t="s">
        <v>12</v>
      </c>
      <c r="I93" s="62" t="s">
        <v>157</v>
      </c>
      <c r="J93" s="62"/>
      <c r="K93" s="64">
        <v>23.2</v>
      </c>
      <c r="L93" s="64">
        <f t="shared" si="9"/>
        <v>20.925490196078432</v>
      </c>
      <c r="M93" s="65">
        <f>prodnorm65</f>
        <v>0</v>
      </c>
      <c r="N93" s="66">
        <f>dagwerk65</f>
        <v>0</v>
      </c>
      <c r="O93" s="62" t="s">
        <v>45</v>
      </c>
      <c r="P93" s="67">
        <f>uurtarief65</f>
        <v>0</v>
      </c>
      <c r="Q93" s="64" t="e">
        <f t="shared" si="13"/>
        <v>#DIV/0!</v>
      </c>
      <c r="R93" s="64" t="e">
        <f t="shared" si="14"/>
        <v>#DIV/0!</v>
      </c>
      <c r="S93" s="67" t="e">
        <f t="shared" si="10"/>
        <v>#DIV/0!</v>
      </c>
      <c r="T93" s="64" t="e">
        <f t="shared" si="11"/>
        <v>#DIV/0!</v>
      </c>
      <c r="U93" s="68" t="e">
        <f t="shared" si="12"/>
        <v>#DIV/0!</v>
      </c>
    </row>
    <row r="94" spans="1:21" x14ac:dyDescent="0.2">
      <c r="A94" s="61" t="s">
        <v>244</v>
      </c>
      <c r="B94" s="62" t="s">
        <v>253</v>
      </c>
      <c r="C94" s="62" t="s">
        <v>403</v>
      </c>
      <c r="D94" s="62" t="s">
        <v>417</v>
      </c>
      <c r="E94" s="63" t="s">
        <v>418</v>
      </c>
      <c r="F94" s="62" t="s">
        <v>249</v>
      </c>
      <c r="G94" s="62" t="s">
        <v>207</v>
      </c>
      <c r="H94" s="62" t="s">
        <v>23</v>
      </c>
      <c r="I94" s="62" t="s">
        <v>157</v>
      </c>
      <c r="J94" s="62"/>
      <c r="K94" s="64">
        <v>3</v>
      </c>
      <c r="L94" s="64">
        <f t="shared" si="9"/>
        <v>0.54117647058823526</v>
      </c>
      <c r="M94" s="65">
        <f>prodnorm89</f>
        <v>0</v>
      </c>
      <c r="N94" s="66">
        <f>dagwerk89</f>
        <v>0</v>
      </c>
      <c r="O94" s="62" t="s">
        <v>45</v>
      </c>
      <c r="P94" s="67">
        <f>uurtarief89</f>
        <v>0</v>
      </c>
      <c r="Q94" s="64" t="e">
        <f t="shared" si="13"/>
        <v>#DIV/0!</v>
      </c>
      <c r="R94" s="64" t="e">
        <f t="shared" si="14"/>
        <v>#DIV/0!</v>
      </c>
      <c r="S94" s="67" t="e">
        <f t="shared" si="10"/>
        <v>#DIV/0!</v>
      </c>
      <c r="T94" s="64" t="e">
        <f t="shared" si="11"/>
        <v>#DIV/0!</v>
      </c>
      <c r="U94" s="68" t="e">
        <f t="shared" si="12"/>
        <v>#DIV/0!</v>
      </c>
    </row>
    <row r="95" spans="1:21" x14ac:dyDescent="0.2">
      <c r="A95" s="61" t="s">
        <v>244</v>
      </c>
      <c r="B95" s="62" t="s">
        <v>253</v>
      </c>
      <c r="C95" s="62" t="s">
        <v>403</v>
      </c>
      <c r="D95" s="62" t="s">
        <v>419</v>
      </c>
      <c r="E95" s="63" t="s">
        <v>267</v>
      </c>
      <c r="F95" s="62" t="s">
        <v>257</v>
      </c>
      <c r="G95" s="62" t="s">
        <v>183</v>
      </c>
      <c r="H95" s="62" t="s">
        <v>12</v>
      </c>
      <c r="I95" s="62" t="s">
        <v>157</v>
      </c>
      <c r="J95" s="62"/>
      <c r="K95" s="64">
        <v>26.4</v>
      </c>
      <c r="L95" s="64">
        <f t="shared" si="9"/>
        <v>23.811764705882354</v>
      </c>
      <c r="M95" s="65">
        <f>prodnorm65</f>
        <v>0</v>
      </c>
      <c r="N95" s="66">
        <f>dagwerk65</f>
        <v>0</v>
      </c>
      <c r="O95" s="62" t="s">
        <v>45</v>
      </c>
      <c r="P95" s="67">
        <f>uurtarief65</f>
        <v>0</v>
      </c>
      <c r="Q95" s="64" t="e">
        <f t="shared" si="13"/>
        <v>#DIV/0!</v>
      </c>
      <c r="R95" s="64" t="e">
        <f t="shared" si="14"/>
        <v>#DIV/0!</v>
      </c>
      <c r="S95" s="67" t="e">
        <f t="shared" si="10"/>
        <v>#DIV/0!</v>
      </c>
      <c r="T95" s="64" t="e">
        <f t="shared" si="11"/>
        <v>#DIV/0!</v>
      </c>
      <c r="U95" s="68" t="e">
        <f t="shared" si="12"/>
        <v>#DIV/0!</v>
      </c>
    </row>
    <row r="96" spans="1:21" x14ac:dyDescent="0.2">
      <c r="A96" s="61" t="s">
        <v>244</v>
      </c>
      <c r="B96" s="62" t="s">
        <v>253</v>
      </c>
      <c r="C96" s="62" t="s">
        <v>403</v>
      </c>
      <c r="D96" s="62" t="s">
        <v>420</v>
      </c>
      <c r="E96" s="63" t="s">
        <v>421</v>
      </c>
      <c r="F96" s="62" t="s">
        <v>257</v>
      </c>
      <c r="G96" s="62" t="s">
        <v>205</v>
      </c>
      <c r="H96" s="62" t="s">
        <v>22</v>
      </c>
      <c r="I96" s="62" t="s">
        <v>157</v>
      </c>
      <c r="J96" s="62"/>
      <c r="K96" s="64">
        <v>16.7</v>
      </c>
      <c r="L96" s="64">
        <f t="shared" si="9"/>
        <v>3.34</v>
      </c>
      <c r="M96" s="65">
        <f>prodnorm83</f>
        <v>0</v>
      </c>
      <c r="N96" s="66">
        <f>dagwerk83</f>
        <v>0</v>
      </c>
      <c r="O96" s="62" t="s">
        <v>45</v>
      </c>
      <c r="P96" s="67">
        <f>uurtarief83</f>
        <v>0</v>
      </c>
      <c r="Q96" s="64" t="e">
        <f t="shared" si="13"/>
        <v>#DIV/0!</v>
      </c>
      <c r="R96" s="64" t="e">
        <f t="shared" si="14"/>
        <v>#DIV/0!</v>
      </c>
      <c r="S96" s="67" t="e">
        <f t="shared" si="10"/>
        <v>#DIV/0!</v>
      </c>
      <c r="T96" s="64" t="e">
        <f t="shared" si="11"/>
        <v>#DIV/0!</v>
      </c>
      <c r="U96" s="68" t="e">
        <f t="shared" si="12"/>
        <v>#DIV/0!</v>
      </c>
    </row>
    <row r="97" spans="1:21" ht="25.5" x14ac:dyDescent="0.2">
      <c r="A97" s="61" t="s">
        <v>244</v>
      </c>
      <c r="B97" s="62" t="s">
        <v>253</v>
      </c>
      <c r="C97" s="62" t="s">
        <v>403</v>
      </c>
      <c r="D97" s="62" t="s">
        <v>422</v>
      </c>
      <c r="E97" s="63" t="s">
        <v>423</v>
      </c>
      <c r="F97" s="62" t="s">
        <v>257</v>
      </c>
      <c r="G97" s="62" t="s">
        <v>183</v>
      </c>
      <c r="H97" s="62" t="s">
        <v>12</v>
      </c>
      <c r="I97" s="62" t="s">
        <v>157</v>
      </c>
      <c r="J97" s="62"/>
      <c r="K97" s="64">
        <v>27.5</v>
      </c>
      <c r="L97" s="64">
        <f t="shared" si="9"/>
        <v>24.803921568627452</v>
      </c>
      <c r="M97" s="65">
        <f>prodnorm65</f>
        <v>0</v>
      </c>
      <c r="N97" s="66">
        <f>dagwerk65</f>
        <v>0</v>
      </c>
      <c r="O97" s="62" t="s">
        <v>45</v>
      </c>
      <c r="P97" s="67">
        <f>uurtarief65</f>
        <v>0</v>
      </c>
      <c r="Q97" s="64" t="e">
        <f t="shared" si="13"/>
        <v>#DIV/0!</v>
      </c>
      <c r="R97" s="64" t="e">
        <f t="shared" si="14"/>
        <v>#DIV/0!</v>
      </c>
      <c r="S97" s="67" t="e">
        <f t="shared" si="10"/>
        <v>#DIV/0!</v>
      </c>
      <c r="T97" s="64" t="e">
        <f t="shared" si="11"/>
        <v>#DIV/0!</v>
      </c>
      <c r="U97" s="68" t="e">
        <f t="shared" si="12"/>
        <v>#DIV/0!</v>
      </c>
    </row>
    <row r="98" spans="1:21" ht="25.5" x14ac:dyDescent="0.2">
      <c r="A98" s="61" t="s">
        <v>244</v>
      </c>
      <c r="B98" s="62" t="s">
        <v>253</v>
      </c>
      <c r="C98" s="62" t="s">
        <v>403</v>
      </c>
      <c r="D98" s="62" t="s">
        <v>424</v>
      </c>
      <c r="E98" s="63" t="s">
        <v>425</v>
      </c>
      <c r="F98" s="62" t="s">
        <v>257</v>
      </c>
      <c r="G98" s="62" t="s">
        <v>207</v>
      </c>
      <c r="H98" s="62" t="s">
        <v>12</v>
      </c>
      <c r="I98" s="62" t="s">
        <v>157</v>
      </c>
      <c r="J98" s="62"/>
      <c r="K98" s="64">
        <v>14.4</v>
      </c>
      <c r="L98" s="64">
        <f t="shared" si="9"/>
        <v>12.988235294117647</v>
      </c>
      <c r="M98" s="65">
        <f>prodnorm86</f>
        <v>0</v>
      </c>
      <c r="N98" s="66">
        <f>dagwerk86</f>
        <v>0</v>
      </c>
      <c r="O98" s="62" t="s">
        <v>45</v>
      </c>
      <c r="P98" s="67">
        <f>uurtarief86</f>
        <v>0</v>
      </c>
      <c r="Q98" s="64" t="e">
        <f t="shared" si="13"/>
        <v>#DIV/0!</v>
      </c>
      <c r="R98" s="64" t="e">
        <f t="shared" si="14"/>
        <v>#DIV/0!</v>
      </c>
      <c r="S98" s="67" t="e">
        <f t="shared" si="10"/>
        <v>#DIV/0!</v>
      </c>
      <c r="T98" s="64" t="e">
        <f t="shared" si="11"/>
        <v>#DIV/0!</v>
      </c>
      <c r="U98" s="68" t="e">
        <f t="shared" si="12"/>
        <v>#DIV/0!</v>
      </c>
    </row>
    <row r="99" spans="1:21" x14ac:dyDescent="0.2">
      <c r="A99" s="61" t="s">
        <v>244</v>
      </c>
      <c r="B99" s="62" t="s">
        <v>253</v>
      </c>
      <c r="C99" s="62" t="s">
        <v>403</v>
      </c>
      <c r="D99" s="62" t="s">
        <v>426</v>
      </c>
      <c r="E99" s="63" t="s">
        <v>427</v>
      </c>
      <c r="F99" s="62" t="s">
        <v>257</v>
      </c>
      <c r="G99" s="62" t="s">
        <v>183</v>
      </c>
      <c r="H99" s="62" t="s">
        <v>12</v>
      </c>
      <c r="I99" s="62" t="s">
        <v>157</v>
      </c>
      <c r="J99" s="62"/>
      <c r="K99" s="64">
        <v>26.8</v>
      </c>
      <c r="L99" s="64">
        <f t="shared" si="9"/>
        <v>24.172549019607843</v>
      </c>
      <c r="M99" s="65">
        <f>prodnorm65</f>
        <v>0</v>
      </c>
      <c r="N99" s="66">
        <f>dagwerk65</f>
        <v>0</v>
      </c>
      <c r="O99" s="62" t="s">
        <v>45</v>
      </c>
      <c r="P99" s="67">
        <f>uurtarief65</f>
        <v>0</v>
      </c>
      <c r="Q99" s="64" t="e">
        <f t="shared" si="13"/>
        <v>#DIV/0!</v>
      </c>
      <c r="R99" s="64" t="e">
        <f t="shared" si="14"/>
        <v>#DIV/0!</v>
      </c>
      <c r="S99" s="67" t="e">
        <f t="shared" si="10"/>
        <v>#DIV/0!</v>
      </c>
      <c r="T99" s="64" t="e">
        <f t="shared" si="11"/>
        <v>#DIV/0!</v>
      </c>
      <c r="U99" s="68" t="e">
        <f t="shared" si="12"/>
        <v>#DIV/0!</v>
      </c>
    </row>
    <row r="100" spans="1:21" x14ac:dyDescent="0.2">
      <c r="A100" s="61" t="s">
        <v>244</v>
      </c>
      <c r="B100" s="62" t="s">
        <v>253</v>
      </c>
      <c r="C100" s="62" t="s">
        <v>403</v>
      </c>
      <c r="D100" s="62" t="s">
        <v>428</v>
      </c>
      <c r="E100" s="63" t="s">
        <v>429</v>
      </c>
      <c r="F100" s="62" t="s">
        <v>257</v>
      </c>
      <c r="G100" s="62" t="s">
        <v>183</v>
      </c>
      <c r="H100" s="62" t="s">
        <v>12</v>
      </c>
      <c r="I100" s="62" t="s">
        <v>157</v>
      </c>
      <c r="J100" s="62"/>
      <c r="K100" s="64">
        <v>26.8</v>
      </c>
      <c r="L100" s="64">
        <f t="shared" si="9"/>
        <v>24.172549019607843</v>
      </c>
      <c r="M100" s="65">
        <f>prodnorm65</f>
        <v>0</v>
      </c>
      <c r="N100" s="66">
        <f>dagwerk65</f>
        <v>0</v>
      </c>
      <c r="O100" s="62" t="s">
        <v>45</v>
      </c>
      <c r="P100" s="67">
        <f>uurtarief65</f>
        <v>0</v>
      </c>
      <c r="Q100" s="64" t="e">
        <f t="shared" si="13"/>
        <v>#DIV/0!</v>
      </c>
      <c r="R100" s="64" t="e">
        <f t="shared" si="14"/>
        <v>#DIV/0!</v>
      </c>
      <c r="S100" s="67" t="e">
        <f t="shared" si="10"/>
        <v>#DIV/0!</v>
      </c>
      <c r="T100" s="64" t="e">
        <f t="shared" si="11"/>
        <v>#DIV/0!</v>
      </c>
      <c r="U100" s="68" t="e">
        <f t="shared" si="12"/>
        <v>#DIV/0!</v>
      </c>
    </row>
    <row r="101" spans="1:21" x14ac:dyDescent="0.2">
      <c r="A101" s="61" t="s">
        <v>244</v>
      </c>
      <c r="B101" s="62" t="s">
        <v>253</v>
      </c>
      <c r="C101" s="62" t="s">
        <v>403</v>
      </c>
      <c r="D101" s="62" t="s">
        <v>430</v>
      </c>
      <c r="E101" s="63" t="s">
        <v>431</v>
      </c>
      <c r="F101" s="62" t="s">
        <v>249</v>
      </c>
      <c r="G101" s="62" t="s">
        <v>201</v>
      </c>
      <c r="H101" s="62" t="s">
        <v>11</v>
      </c>
      <c r="I101" s="62" t="s">
        <v>157</v>
      </c>
      <c r="J101" s="62"/>
      <c r="K101" s="64">
        <v>2.9</v>
      </c>
      <c r="L101" s="64">
        <f t="shared" si="9"/>
        <v>2.9</v>
      </c>
      <c r="M101" s="65">
        <f>prodnorm78</f>
        <v>0</v>
      </c>
      <c r="N101" s="66">
        <f>dagwerk78</f>
        <v>0</v>
      </c>
      <c r="O101" s="62" t="s">
        <v>45</v>
      </c>
      <c r="P101" s="67">
        <f>uurtarief78</f>
        <v>0</v>
      </c>
      <c r="Q101" s="64" t="e">
        <f t="shared" si="13"/>
        <v>#DIV/0!</v>
      </c>
      <c r="R101" s="64" t="e">
        <f t="shared" si="14"/>
        <v>#DIV/0!</v>
      </c>
      <c r="S101" s="67" t="e">
        <f t="shared" si="10"/>
        <v>#DIV/0!</v>
      </c>
      <c r="T101" s="64" t="e">
        <f t="shared" si="11"/>
        <v>#DIV/0!</v>
      </c>
      <c r="U101" s="68" t="e">
        <f t="shared" si="12"/>
        <v>#DIV/0!</v>
      </c>
    </row>
    <row r="102" spans="1:21" x14ac:dyDescent="0.2">
      <c r="A102" s="61" t="s">
        <v>244</v>
      </c>
      <c r="B102" s="62" t="s">
        <v>253</v>
      </c>
      <c r="C102" s="62" t="s">
        <v>403</v>
      </c>
      <c r="D102" s="62" t="s">
        <v>430</v>
      </c>
      <c r="E102" s="63" t="s">
        <v>431</v>
      </c>
      <c r="F102" s="62" t="s">
        <v>249</v>
      </c>
      <c r="G102" s="62" t="s">
        <v>203</v>
      </c>
      <c r="H102" s="62" t="s">
        <v>11</v>
      </c>
      <c r="I102" s="62" t="s">
        <v>157</v>
      </c>
      <c r="J102" s="62"/>
      <c r="K102" s="64">
        <v>2.9</v>
      </c>
      <c r="L102" s="64">
        <f t="shared" si="9"/>
        <v>2.9</v>
      </c>
      <c r="M102" s="65">
        <f>prodnorm80</f>
        <v>0</v>
      </c>
      <c r="N102" s="66">
        <f>dagwerk80</f>
        <v>0</v>
      </c>
      <c r="O102" s="62" t="s">
        <v>45</v>
      </c>
      <c r="P102" s="67">
        <f>uurtarief80</f>
        <v>0</v>
      </c>
      <c r="Q102" s="64" t="e">
        <f t="shared" si="13"/>
        <v>#DIV/0!</v>
      </c>
      <c r="R102" s="64" t="e">
        <f t="shared" si="14"/>
        <v>#DIV/0!</v>
      </c>
      <c r="S102" s="67" t="e">
        <f t="shared" si="10"/>
        <v>#DIV/0!</v>
      </c>
      <c r="T102" s="64" t="e">
        <f t="shared" si="11"/>
        <v>#DIV/0!</v>
      </c>
      <c r="U102" s="68" t="e">
        <f t="shared" si="12"/>
        <v>#DIV/0!</v>
      </c>
    </row>
    <row r="103" spans="1:21" x14ac:dyDescent="0.2">
      <c r="A103" s="61" t="s">
        <v>244</v>
      </c>
      <c r="B103" s="62" t="s">
        <v>253</v>
      </c>
      <c r="C103" s="62" t="s">
        <v>403</v>
      </c>
      <c r="D103" s="62" t="s">
        <v>432</v>
      </c>
      <c r="E103" s="63" t="s">
        <v>433</v>
      </c>
      <c r="F103" s="62" t="s">
        <v>249</v>
      </c>
      <c r="G103" s="62" t="s">
        <v>201</v>
      </c>
      <c r="H103" s="62" t="s">
        <v>11</v>
      </c>
      <c r="I103" s="62" t="s">
        <v>157</v>
      </c>
      <c r="J103" s="62"/>
      <c r="K103" s="64">
        <v>5.7</v>
      </c>
      <c r="L103" s="64">
        <f t="shared" si="9"/>
        <v>5.7</v>
      </c>
      <c r="M103" s="65">
        <f>prodnorm78</f>
        <v>0</v>
      </c>
      <c r="N103" s="66">
        <f>dagwerk78</f>
        <v>0</v>
      </c>
      <c r="O103" s="62" t="s">
        <v>45</v>
      </c>
      <c r="P103" s="67">
        <f>uurtarief78</f>
        <v>0</v>
      </c>
      <c r="Q103" s="64" t="e">
        <f t="shared" si="13"/>
        <v>#DIV/0!</v>
      </c>
      <c r="R103" s="64" t="e">
        <f t="shared" si="14"/>
        <v>#DIV/0!</v>
      </c>
      <c r="S103" s="67" t="e">
        <f t="shared" si="10"/>
        <v>#DIV/0!</v>
      </c>
      <c r="T103" s="64" t="e">
        <f t="shared" si="11"/>
        <v>#DIV/0!</v>
      </c>
      <c r="U103" s="68" t="e">
        <f t="shared" si="12"/>
        <v>#DIV/0!</v>
      </c>
    </row>
    <row r="104" spans="1:21" x14ac:dyDescent="0.2">
      <c r="A104" s="61" t="s">
        <v>244</v>
      </c>
      <c r="B104" s="62" t="s">
        <v>253</v>
      </c>
      <c r="C104" s="62" t="s">
        <v>403</v>
      </c>
      <c r="D104" s="62" t="s">
        <v>432</v>
      </c>
      <c r="E104" s="63" t="s">
        <v>433</v>
      </c>
      <c r="F104" s="62" t="s">
        <v>249</v>
      </c>
      <c r="G104" s="62" t="s">
        <v>203</v>
      </c>
      <c r="H104" s="62" t="s">
        <v>11</v>
      </c>
      <c r="I104" s="62" t="s">
        <v>157</v>
      </c>
      <c r="J104" s="62"/>
      <c r="K104" s="64">
        <v>5.7</v>
      </c>
      <c r="L104" s="64">
        <f t="shared" si="9"/>
        <v>5.7</v>
      </c>
      <c r="M104" s="65">
        <f>prodnorm80</f>
        <v>0</v>
      </c>
      <c r="N104" s="66">
        <f>dagwerk80</f>
        <v>0</v>
      </c>
      <c r="O104" s="62" t="s">
        <v>45</v>
      </c>
      <c r="P104" s="67">
        <f>uurtarief80</f>
        <v>0</v>
      </c>
      <c r="Q104" s="64" t="e">
        <f t="shared" si="13"/>
        <v>#DIV/0!</v>
      </c>
      <c r="R104" s="64" t="e">
        <f t="shared" si="14"/>
        <v>#DIV/0!</v>
      </c>
      <c r="S104" s="67" t="e">
        <f t="shared" si="10"/>
        <v>#DIV/0!</v>
      </c>
      <c r="T104" s="64" t="e">
        <f t="shared" si="11"/>
        <v>#DIV/0!</v>
      </c>
      <c r="U104" s="68" t="e">
        <f t="shared" si="12"/>
        <v>#DIV/0!</v>
      </c>
    </row>
    <row r="105" spans="1:21" x14ac:dyDescent="0.2">
      <c r="A105" s="61" t="s">
        <v>244</v>
      </c>
      <c r="B105" s="62" t="s">
        <v>253</v>
      </c>
      <c r="C105" s="62" t="s">
        <v>403</v>
      </c>
      <c r="D105" s="62" t="s">
        <v>434</v>
      </c>
      <c r="E105" s="63" t="s">
        <v>435</v>
      </c>
      <c r="F105" s="62" t="s">
        <v>257</v>
      </c>
      <c r="G105" s="62" t="s">
        <v>183</v>
      </c>
      <c r="H105" s="62" t="s">
        <v>12</v>
      </c>
      <c r="I105" s="62" t="s">
        <v>157</v>
      </c>
      <c r="J105" s="62"/>
      <c r="K105" s="64">
        <v>26.8</v>
      </c>
      <c r="L105" s="64">
        <f t="shared" si="9"/>
        <v>24.172549019607843</v>
      </c>
      <c r="M105" s="65">
        <f>prodnorm65</f>
        <v>0</v>
      </c>
      <c r="N105" s="66">
        <f>dagwerk65</f>
        <v>0</v>
      </c>
      <c r="O105" s="62" t="s">
        <v>45</v>
      </c>
      <c r="P105" s="67">
        <f>uurtarief65</f>
        <v>0</v>
      </c>
      <c r="Q105" s="64" t="e">
        <f t="shared" si="13"/>
        <v>#DIV/0!</v>
      </c>
      <c r="R105" s="64" t="e">
        <f t="shared" si="14"/>
        <v>#DIV/0!</v>
      </c>
      <c r="S105" s="67" t="e">
        <f t="shared" si="10"/>
        <v>#DIV/0!</v>
      </c>
      <c r="T105" s="64" t="e">
        <f t="shared" si="11"/>
        <v>#DIV/0!</v>
      </c>
      <c r="U105" s="68" t="e">
        <f t="shared" si="12"/>
        <v>#DIV/0!</v>
      </c>
    </row>
    <row r="106" spans="1:21" x14ac:dyDescent="0.2">
      <c r="A106" s="61" t="s">
        <v>244</v>
      </c>
      <c r="B106" s="62" t="s">
        <v>253</v>
      </c>
      <c r="C106" s="62" t="s">
        <v>403</v>
      </c>
      <c r="D106" s="62" t="s">
        <v>436</v>
      </c>
      <c r="E106" s="63" t="s">
        <v>437</v>
      </c>
      <c r="F106" s="62" t="s">
        <v>257</v>
      </c>
      <c r="G106" s="62" t="s">
        <v>183</v>
      </c>
      <c r="H106" s="62" t="s">
        <v>12</v>
      </c>
      <c r="I106" s="62" t="s">
        <v>157</v>
      </c>
      <c r="J106" s="62"/>
      <c r="K106" s="64">
        <v>26.8</v>
      </c>
      <c r="L106" s="64">
        <f t="shared" si="9"/>
        <v>24.172549019607843</v>
      </c>
      <c r="M106" s="65">
        <f>prodnorm65</f>
        <v>0</v>
      </c>
      <c r="N106" s="66">
        <f>dagwerk65</f>
        <v>0</v>
      </c>
      <c r="O106" s="62" t="s">
        <v>45</v>
      </c>
      <c r="P106" s="67">
        <f>uurtarief65</f>
        <v>0</v>
      </c>
      <c r="Q106" s="64" t="e">
        <f t="shared" si="13"/>
        <v>#DIV/0!</v>
      </c>
      <c r="R106" s="64" t="e">
        <f t="shared" si="14"/>
        <v>#DIV/0!</v>
      </c>
      <c r="S106" s="67" t="e">
        <f t="shared" si="10"/>
        <v>#DIV/0!</v>
      </c>
      <c r="T106" s="64" t="e">
        <f t="shared" si="11"/>
        <v>#DIV/0!</v>
      </c>
      <c r="U106" s="68" t="e">
        <f t="shared" si="12"/>
        <v>#DIV/0!</v>
      </c>
    </row>
    <row r="107" spans="1:21" x14ac:dyDescent="0.2">
      <c r="A107" s="61" t="s">
        <v>244</v>
      </c>
      <c r="B107" s="62" t="s">
        <v>253</v>
      </c>
      <c r="C107" s="62" t="s">
        <v>403</v>
      </c>
      <c r="D107" s="62" t="s">
        <v>438</v>
      </c>
      <c r="E107" s="63" t="s">
        <v>439</v>
      </c>
      <c r="F107" s="62" t="s">
        <v>440</v>
      </c>
      <c r="G107" s="62" t="s">
        <v>173</v>
      </c>
      <c r="H107" s="62" t="s">
        <v>12</v>
      </c>
      <c r="I107" s="62" t="s">
        <v>157</v>
      </c>
      <c r="J107" s="62"/>
      <c r="K107" s="64">
        <v>6.9</v>
      </c>
      <c r="L107" s="64">
        <f t="shared" si="9"/>
        <v>6.223529411764706</v>
      </c>
      <c r="M107" s="65">
        <f>prodnorm56</f>
        <v>0</v>
      </c>
      <c r="N107" s="66">
        <f>dagwerk56</f>
        <v>0</v>
      </c>
      <c r="O107" s="62" t="s">
        <v>45</v>
      </c>
      <c r="P107" s="67">
        <f>uurtarief56</f>
        <v>0</v>
      </c>
      <c r="Q107" s="64" t="e">
        <f t="shared" si="13"/>
        <v>#DIV/0!</v>
      </c>
      <c r="R107" s="64" t="e">
        <f t="shared" si="14"/>
        <v>#DIV/0!</v>
      </c>
      <c r="S107" s="67" t="e">
        <f t="shared" si="10"/>
        <v>#DIV/0!</v>
      </c>
      <c r="T107" s="64" t="e">
        <f t="shared" si="11"/>
        <v>#DIV/0!</v>
      </c>
      <c r="U107" s="68" t="e">
        <f t="shared" si="12"/>
        <v>#DIV/0!</v>
      </c>
    </row>
    <row r="108" spans="1:21" x14ac:dyDescent="0.2">
      <c r="A108" s="61" t="s">
        <v>244</v>
      </c>
      <c r="B108" s="62" t="s">
        <v>253</v>
      </c>
      <c r="C108" s="62" t="s">
        <v>403</v>
      </c>
      <c r="D108" s="62" t="s">
        <v>441</v>
      </c>
      <c r="E108" s="63" t="s">
        <v>442</v>
      </c>
      <c r="F108" s="62" t="s">
        <v>257</v>
      </c>
      <c r="G108" s="62" t="s">
        <v>183</v>
      </c>
      <c r="H108" s="62" t="s">
        <v>12</v>
      </c>
      <c r="I108" s="62" t="s">
        <v>157</v>
      </c>
      <c r="J108" s="62"/>
      <c r="K108" s="64">
        <v>27.5</v>
      </c>
      <c r="L108" s="64">
        <f t="shared" si="9"/>
        <v>24.803921568627452</v>
      </c>
      <c r="M108" s="65">
        <f>prodnorm65</f>
        <v>0</v>
      </c>
      <c r="N108" s="66">
        <f>dagwerk65</f>
        <v>0</v>
      </c>
      <c r="O108" s="62" t="s">
        <v>45</v>
      </c>
      <c r="P108" s="67">
        <f>uurtarief65</f>
        <v>0</v>
      </c>
      <c r="Q108" s="64" t="e">
        <f t="shared" si="13"/>
        <v>#DIV/0!</v>
      </c>
      <c r="R108" s="64" t="e">
        <f t="shared" si="14"/>
        <v>#DIV/0!</v>
      </c>
      <c r="S108" s="67" t="e">
        <f t="shared" si="10"/>
        <v>#DIV/0!</v>
      </c>
      <c r="T108" s="64" t="e">
        <f t="shared" si="11"/>
        <v>#DIV/0!</v>
      </c>
      <c r="U108" s="68" t="e">
        <f t="shared" si="12"/>
        <v>#DIV/0!</v>
      </c>
    </row>
    <row r="109" spans="1:21" x14ac:dyDescent="0.2">
      <c r="A109" s="61" t="s">
        <v>244</v>
      </c>
      <c r="B109" s="62" t="s">
        <v>253</v>
      </c>
      <c r="C109" s="62" t="s">
        <v>403</v>
      </c>
      <c r="D109" s="62" t="s">
        <v>443</v>
      </c>
      <c r="E109" s="63" t="s">
        <v>444</v>
      </c>
      <c r="F109" s="62" t="s">
        <v>387</v>
      </c>
      <c r="G109" s="62" t="s">
        <v>199</v>
      </c>
      <c r="H109" s="62" t="s">
        <v>12</v>
      </c>
      <c r="I109" s="62" t="s">
        <v>157</v>
      </c>
      <c r="J109" s="62"/>
      <c r="K109" s="64">
        <v>64</v>
      </c>
      <c r="L109" s="64">
        <f t="shared" si="9"/>
        <v>57.725490196078432</v>
      </c>
      <c r="M109" s="65">
        <f>prodnorm76</f>
        <v>0</v>
      </c>
      <c r="N109" s="66">
        <f>dagwerk76</f>
        <v>0</v>
      </c>
      <c r="O109" s="62" t="s">
        <v>45</v>
      </c>
      <c r="P109" s="67">
        <f>uurtarief76</f>
        <v>0</v>
      </c>
      <c r="Q109" s="64" t="e">
        <f t="shared" si="13"/>
        <v>#DIV/0!</v>
      </c>
      <c r="R109" s="64" t="e">
        <f t="shared" si="14"/>
        <v>#DIV/0!</v>
      </c>
      <c r="S109" s="67" t="e">
        <f t="shared" si="10"/>
        <v>#DIV/0!</v>
      </c>
      <c r="T109" s="64" t="e">
        <f t="shared" si="11"/>
        <v>#DIV/0!</v>
      </c>
      <c r="U109" s="68" t="e">
        <f t="shared" si="12"/>
        <v>#DIV/0!</v>
      </c>
    </row>
    <row r="110" spans="1:21" x14ac:dyDescent="0.2">
      <c r="A110" s="61" t="s">
        <v>244</v>
      </c>
      <c r="B110" s="62" t="s">
        <v>253</v>
      </c>
      <c r="C110" s="62" t="s">
        <v>403</v>
      </c>
      <c r="D110" s="62" t="s">
        <v>445</v>
      </c>
      <c r="E110" s="63" t="s">
        <v>444</v>
      </c>
      <c r="F110" s="62" t="s">
        <v>257</v>
      </c>
      <c r="G110" s="62" t="s">
        <v>197</v>
      </c>
      <c r="H110" s="62" t="s">
        <v>12</v>
      </c>
      <c r="I110" s="62" t="s">
        <v>157</v>
      </c>
      <c r="J110" s="62"/>
      <c r="K110" s="64">
        <v>20</v>
      </c>
      <c r="L110" s="64">
        <f t="shared" si="9"/>
        <v>18.03921568627451</v>
      </c>
      <c r="M110" s="65">
        <f>prodnorm75</f>
        <v>0</v>
      </c>
      <c r="N110" s="66">
        <f>dagwerk75</f>
        <v>0</v>
      </c>
      <c r="O110" s="62" t="s">
        <v>45</v>
      </c>
      <c r="P110" s="67">
        <f>uurtarief75</f>
        <v>0</v>
      </c>
      <c r="Q110" s="64" t="e">
        <f t="shared" si="13"/>
        <v>#DIV/0!</v>
      </c>
      <c r="R110" s="64" t="e">
        <f t="shared" si="14"/>
        <v>#DIV/0!</v>
      </c>
      <c r="S110" s="67" t="e">
        <f t="shared" si="10"/>
        <v>#DIV/0!</v>
      </c>
      <c r="T110" s="64" t="e">
        <f t="shared" si="11"/>
        <v>#DIV/0!</v>
      </c>
      <c r="U110" s="68" t="e">
        <f t="shared" si="12"/>
        <v>#DIV/0!</v>
      </c>
    </row>
    <row r="111" spans="1:21" x14ac:dyDescent="0.2">
      <c r="A111" s="61" t="s">
        <v>244</v>
      </c>
      <c r="B111" s="62" t="s">
        <v>253</v>
      </c>
      <c r="C111" s="62" t="s">
        <v>403</v>
      </c>
      <c r="D111" s="62" t="s">
        <v>446</v>
      </c>
      <c r="E111" s="63" t="s">
        <v>447</v>
      </c>
      <c r="F111" s="62" t="s">
        <v>257</v>
      </c>
      <c r="G111" s="62" t="s">
        <v>183</v>
      </c>
      <c r="H111" s="62" t="s">
        <v>12</v>
      </c>
      <c r="I111" s="62" t="s">
        <v>157</v>
      </c>
      <c r="J111" s="62"/>
      <c r="K111" s="64">
        <v>27.7</v>
      </c>
      <c r="L111" s="64">
        <f t="shared" si="9"/>
        <v>24.984313725490196</v>
      </c>
      <c r="M111" s="65">
        <f>prodnorm65</f>
        <v>0</v>
      </c>
      <c r="N111" s="66">
        <f>dagwerk65</f>
        <v>0</v>
      </c>
      <c r="O111" s="62" t="s">
        <v>45</v>
      </c>
      <c r="P111" s="67">
        <f>uurtarief65</f>
        <v>0</v>
      </c>
      <c r="Q111" s="64" t="e">
        <f t="shared" si="13"/>
        <v>#DIV/0!</v>
      </c>
      <c r="R111" s="64" t="e">
        <f t="shared" si="14"/>
        <v>#DIV/0!</v>
      </c>
      <c r="S111" s="67" t="e">
        <f t="shared" si="10"/>
        <v>#DIV/0!</v>
      </c>
      <c r="T111" s="64" t="e">
        <f t="shared" si="11"/>
        <v>#DIV/0!</v>
      </c>
      <c r="U111" s="68" t="e">
        <f t="shared" si="12"/>
        <v>#DIV/0!</v>
      </c>
    </row>
    <row r="112" spans="1:21" x14ac:dyDescent="0.2">
      <c r="A112" s="61" t="s">
        <v>244</v>
      </c>
      <c r="B112" s="62" t="s">
        <v>253</v>
      </c>
      <c r="C112" s="62" t="s">
        <v>403</v>
      </c>
      <c r="D112" s="62" t="s">
        <v>448</v>
      </c>
      <c r="E112" s="63" t="s">
        <v>449</v>
      </c>
      <c r="F112" s="62" t="s">
        <v>387</v>
      </c>
      <c r="G112" s="62" t="s">
        <v>199</v>
      </c>
      <c r="H112" s="62" t="s">
        <v>12</v>
      </c>
      <c r="I112" s="62" t="s">
        <v>157</v>
      </c>
      <c r="J112" s="62"/>
      <c r="K112" s="64">
        <v>26.7</v>
      </c>
      <c r="L112" s="64">
        <f t="shared" si="9"/>
        <v>24.08235294117647</v>
      </c>
      <c r="M112" s="65">
        <f>prodnorm76</f>
        <v>0</v>
      </c>
      <c r="N112" s="66">
        <f>dagwerk76</f>
        <v>0</v>
      </c>
      <c r="O112" s="62" t="s">
        <v>45</v>
      </c>
      <c r="P112" s="67">
        <f>uurtarief76</f>
        <v>0</v>
      </c>
      <c r="Q112" s="64" t="e">
        <f t="shared" si="13"/>
        <v>#DIV/0!</v>
      </c>
      <c r="R112" s="64" t="e">
        <f t="shared" si="14"/>
        <v>#DIV/0!</v>
      </c>
      <c r="S112" s="67" t="e">
        <f t="shared" si="10"/>
        <v>#DIV/0!</v>
      </c>
      <c r="T112" s="64" t="e">
        <f t="shared" si="11"/>
        <v>#DIV/0!</v>
      </c>
      <c r="U112" s="68" t="e">
        <f t="shared" si="12"/>
        <v>#DIV/0!</v>
      </c>
    </row>
    <row r="113" spans="1:21" x14ac:dyDescent="0.2">
      <c r="A113" s="61" t="s">
        <v>244</v>
      </c>
      <c r="B113" s="62" t="s">
        <v>253</v>
      </c>
      <c r="C113" s="62" t="s">
        <v>403</v>
      </c>
      <c r="D113" s="62" t="s">
        <v>450</v>
      </c>
      <c r="E113" s="63" t="s">
        <v>288</v>
      </c>
      <c r="F113" s="62" t="s">
        <v>289</v>
      </c>
      <c r="G113" s="62" t="s">
        <v>205</v>
      </c>
      <c r="H113" s="62" t="s">
        <v>22</v>
      </c>
      <c r="I113" s="62" t="s">
        <v>157</v>
      </c>
      <c r="J113" s="62"/>
      <c r="K113" s="64">
        <v>15</v>
      </c>
      <c r="L113" s="64">
        <f t="shared" si="9"/>
        <v>3</v>
      </c>
      <c r="M113" s="65">
        <f>prodnorm83</f>
        <v>0</v>
      </c>
      <c r="N113" s="66">
        <f>dagwerk83</f>
        <v>0</v>
      </c>
      <c r="O113" s="62" t="s">
        <v>45</v>
      </c>
      <c r="P113" s="67">
        <f>uurtarief83</f>
        <v>0</v>
      </c>
      <c r="Q113" s="64" t="e">
        <f t="shared" si="13"/>
        <v>#DIV/0!</v>
      </c>
      <c r="R113" s="64" t="e">
        <f t="shared" si="14"/>
        <v>#DIV/0!</v>
      </c>
      <c r="S113" s="67" t="e">
        <f t="shared" si="10"/>
        <v>#DIV/0!</v>
      </c>
      <c r="T113" s="64" t="e">
        <f t="shared" si="11"/>
        <v>#DIV/0!</v>
      </c>
      <c r="U113" s="68" t="e">
        <f t="shared" si="12"/>
        <v>#DIV/0!</v>
      </c>
    </row>
    <row r="114" spans="1:21" x14ac:dyDescent="0.2">
      <c r="A114" s="61" t="s">
        <v>244</v>
      </c>
      <c r="B114" s="62" t="s">
        <v>253</v>
      </c>
      <c r="C114" s="62" t="s">
        <v>403</v>
      </c>
      <c r="D114" s="62" t="s">
        <v>451</v>
      </c>
      <c r="E114" s="63" t="s">
        <v>306</v>
      </c>
      <c r="F114" s="62" t="s">
        <v>289</v>
      </c>
      <c r="G114" s="62" t="s">
        <v>205</v>
      </c>
      <c r="H114" s="62" t="s">
        <v>22</v>
      </c>
      <c r="I114" s="62" t="s">
        <v>157</v>
      </c>
      <c r="J114" s="62"/>
      <c r="K114" s="64">
        <v>15.6</v>
      </c>
      <c r="L114" s="64">
        <f t="shared" si="9"/>
        <v>3.12</v>
      </c>
      <c r="M114" s="65">
        <f>prodnorm83</f>
        <v>0</v>
      </c>
      <c r="N114" s="66">
        <f>dagwerk83</f>
        <v>0</v>
      </c>
      <c r="O114" s="62" t="s">
        <v>45</v>
      </c>
      <c r="P114" s="67">
        <f>uurtarief83</f>
        <v>0</v>
      </c>
      <c r="Q114" s="64" t="e">
        <f t="shared" si="13"/>
        <v>#DIV/0!</v>
      </c>
      <c r="R114" s="64" t="e">
        <f t="shared" si="14"/>
        <v>#DIV/0!</v>
      </c>
      <c r="S114" s="67" t="e">
        <f t="shared" si="10"/>
        <v>#DIV/0!</v>
      </c>
      <c r="T114" s="64" t="e">
        <f t="shared" si="11"/>
        <v>#DIV/0!</v>
      </c>
      <c r="U114" s="68" t="e">
        <f t="shared" si="12"/>
        <v>#DIV/0!</v>
      </c>
    </row>
    <row r="115" spans="1:21" x14ac:dyDescent="0.2">
      <c r="A115" s="61" t="s">
        <v>244</v>
      </c>
      <c r="B115" s="62" t="s">
        <v>253</v>
      </c>
      <c r="C115" s="62" t="s">
        <v>403</v>
      </c>
      <c r="D115" s="62" t="s">
        <v>452</v>
      </c>
      <c r="E115" s="63" t="s">
        <v>453</v>
      </c>
      <c r="F115" s="62" t="s">
        <v>257</v>
      </c>
      <c r="G115" s="62" t="s">
        <v>205</v>
      </c>
      <c r="H115" s="62" t="s">
        <v>23</v>
      </c>
      <c r="I115" s="62" t="s">
        <v>157</v>
      </c>
      <c r="J115" s="62"/>
      <c r="K115" s="64">
        <v>14.9</v>
      </c>
      <c r="L115" s="64">
        <f t="shared" si="9"/>
        <v>2.6878431372549021</v>
      </c>
      <c r="M115" s="65">
        <f>prodnorm82</f>
        <v>0</v>
      </c>
      <c r="N115" s="66">
        <f>dagwerk82</f>
        <v>0</v>
      </c>
      <c r="O115" s="62" t="s">
        <v>45</v>
      </c>
      <c r="P115" s="67">
        <f>uurtarief82</f>
        <v>0</v>
      </c>
      <c r="Q115" s="64" t="e">
        <f t="shared" si="13"/>
        <v>#DIV/0!</v>
      </c>
      <c r="R115" s="64" t="e">
        <f t="shared" si="14"/>
        <v>#DIV/0!</v>
      </c>
      <c r="S115" s="67" t="e">
        <f t="shared" si="10"/>
        <v>#DIV/0!</v>
      </c>
      <c r="T115" s="64" t="e">
        <f t="shared" si="11"/>
        <v>#DIV/0!</v>
      </c>
      <c r="U115" s="68" t="e">
        <f t="shared" si="12"/>
        <v>#DIV/0!</v>
      </c>
    </row>
    <row r="116" spans="1:21" x14ac:dyDescent="0.2">
      <c r="A116" s="61" t="s">
        <v>244</v>
      </c>
      <c r="B116" s="62" t="s">
        <v>253</v>
      </c>
      <c r="C116" s="62" t="s">
        <v>403</v>
      </c>
      <c r="D116" s="62" t="s">
        <v>454</v>
      </c>
      <c r="E116" s="63" t="s">
        <v>328</v>
      </c>
      <c r="F116" s="62" t="s">
        <v>286</v>
      </c>
      <c r="G116" s="62" t="s">
        <v>205</v>
      </c>
      <c r="H116" s="62" t="s">
        <v>22</v>
      </c>
      <c r="I116" s="62" t="s">
        <v>157</v>
      </c>
      <c r="J116" s="62"/>
      <c r="K116" s="64">
        <v>15</v>
      </c>
      <c r="L116" s="64">
        <f t="shared" si="9"/>
        <v>3</v>
      </c>
      <c r="M116" s="65">
        <f>prodnorm83</f>
        <v>0</v>
      </c>
      <c r="N116" s="66">
        <f>dagwerk83</f>
        <v>0</v>
      </c>
      <c r="O116" s="62" t="s">
        <v>45</v>
      </c>
      <c r="P116" s="67">
        <f>uurtarief83</f>
        <v>0</v>
      </c>
      <c r="Q116" s="64" t="e">
        <f t="shared" si="13"/>
        <v>#DIV/0!</v>
      </c>
      <c r="R116" s="64" t="e">
        <f t="shared" si="14"/>
        <v>#DIV/0!</v>
      </c>
      <c r="S116" s="67" t="e">
        <f t="shared" si="10"/>
        <v>#DIV/0!</v>
      </c>
      <c r="T116" s="64" t="e">
        <f t="shared" si="11"/>
        <v>#DIV/0!</v>
      </c>
      <c r="U116" s="68" t="e">
        <f t="shared" si="12"/>
        <v>#DIV/0!</v>
      </c>
    </row>
    <row r="117" spans="1:21" x14ac:dyDescent="0.2">
      <c r="A117" s="61" t="s">
        <v>244</v>
      </c>
      <c r="B117" s="62" t="s">
        <v>253</v>
      </c>
      <c r="C117" s="62" t="s">
        <v>403</v>
      </c>
      <c r="D117" s="62" t="s">
        <v>455</v>
      </c>
      <c r="E117" s="63" t="s">
        <v>330</v>
      </c>
      <c r="F117" s="62" t="s">
        <v>286</v>
      </c>
      <c r="G117" s="62" t="s">
        <v>205</v>
      </c>
      <c r="H117" s="62" t="s">
        <v>22</v>
      </c>
      <c r="I117" s="62" t="s">
        <v>157</v>
      </c>
      <c r="J117" s="62"/>
      <c r="K117" s="64">
        <v>15</v>
      </c>
      <c r="L117" s="64">
        <f t="shared" si="9"/>
        <v>3</v>
      </c>
      <c r="M117" s="65">
        <f>prodnorm83</f>
        <v>0</v>
      </c>
      <c r="N117" s="66">
        <f>dagwerk83</f>
        <v>0</v>
      </c>
      <c r="O117" s="62" t="s">
        <v>45</v>
      </c>
      <c r="P117" s="67">
        <f>uurtarief83</f>
        <v>0</v>
      </c>
      <c r="Q117" s="64" t="e">
        <f t="shared" si="13"/>
        <v>#DIV/0!</v>
      </c>
      <c r="R117" s="64" t="e">
        <f t="shared" si="14"/>
        <v>#DIV/0!</v>
      </c>
      <c r="S117" s="67" t="e">
        <f t="shared" si="10"/>
        <v>#DIV/0!</v>
      </c>
      <c r="T117" s="64" t="e">
        <f t="shared" si="11"/>
        <v>#DIV/0!</v>
      </c>
      <c r="U117" s="68" t="e">
        <f t="shared" si="12"/>
        <v>#DIV/0!</v>
      </c>
    </row>
    <row r="118" spans="1:21" x14ac:dyDescent="0.2">
      <c r="A118" s="61" t="s">
        <v>244</v>
      </c>
      <c r="B118" s="62" t="s">
        <v>253</v>
      </c>
      <c r="C118" s="62" t="s">
        <v>403</v>
      </c>
      <c r="D118" s="62" t="s">
        <v>456</v>
      </c>
      <c r="E118" s="63" t="s">
        <v>457</v>
      </c>
      <c r="F118" s="62" t="s">
        <v>257</v>
      </c>
      <c r="G118" s="62" t="s">
        <v>205</v>
      </c>
      <c r="H118" s="62" t="s">
        <v>22</v>
      </c>
      <c r="I118" s="62" t="s">
        <v>157</v>
      </c>
      <c r="J118" s="62"/>
      <c r="K118" s="64">
        <v>25.9</v>
      </c>
      <c r="L118" s="64">
        <f t="shared" si="9"/>
        <v>5.18</v>
      </c>
      <c r="M118" s="65">
        <f>prodnorm83</f>
        <v>0</v>
      </c>
      <c r="N118" s="66">
        <f>dagwerk83</f>
        <v>0</v>
      </c>
      <c r="O118" s="62" t="s">
        <v>45</v>
      </c>
      <c r="P118" s="67">
        <f>uurtarief83</f>
        <v>0</v>
      </c>
      <c r="Q118" s="64" t="e">
        <f t="shared" si="13"/>
        <v>#DIV/0!</v>
      </c>
      <c r="R118" s="64" t="e">
        <f t="shared" si="14"/>
        <v>#DIV/0!</v>
      </c>
      <c r="S118" s="67" t="e">
        <f t="shared" si="10"/>
        <v>#DIV/0!</v>
      </c>
      <c r="T118" s="64" t="e">
        <f t="shared" si="11"/>
        <v>#DIV/0!</v>
      </c>
      <c r="U118" s="68" t="e">
        <f t="shared" si="12"/>
        <v>#DIV/0!</v>
      </c>
    </row>
    <row r="119" spans="1:21" x14ac:dyDescent="0.2">
      <c r="A119" s="61" t="s">
        <v>244</v>
      </c>
      <c r="B119" s="62" t="s">
        <v>253</v>
      </c>
      <c r="C119" s="62" t="s">
        <v>403</v>
      </c>
      <c r="D119" s="62" t="s">
        <v>458</v>
      </c>
      <c r="E119" s="63" t="s">
        <v>459</v>
      </c>
      <c r="F119" s="62" t="s">
        <v>257</v>
      </c>
      <c r="G119" s="62" t="s">
        <v>161</v>
      </c>
      <c r="H119" s="62" t="s">
        <v>11</v>
      </c>
      <c r="I119" s="62" t="s">
        <v>157</v>
      </c>
      <c r="J119" s="62"/>
      <c r="K119" s="64">
        <v>12.5</v>
      </c>
      <c r="L119" s="64">
        <f t="shared" si="9"/>
        <v>12.5</v>
      </c>
      <c r="M119" s="65">
        <f>prodnorm45</f>
        <v>0</v>
      </c>
      <c r="N119" s="66">
        <f>dagwerk45</f>
        <v>0</v>
      </c>
      <c r="O119" s="62" t="s">
        <v>45</v>
      </c>
      <c r="P119" s="67">
        <f>uurtarief45</f>
        <v>0</v>
      </c>
      <c r="Q119" s="64" t="e">
        <f t="shared" si="13"/>
        <v>#DIV/0!</v>
      </c>
      <c r="R119" s="64" t="e">
        <f t="shared" si="14"/>
        <v>#DIV/0!</v>
      </c>
      <c r="S119" s="67" t="e">
        <f t="shared" si="10"/>
        <v>#DIV/0!</v>
      </c>
      <c r="T119" s="64" t="e">
        <f t="shared" si="11"/>
        <v>#DIV/0!</v>
      </c>
      <c r="U119" s="68" t="e">
        <f t="shared" si="12"/>
        <v>#DIV/0!</v>
      </c>
    </row>
    <row r="120" spans="1:21" x14ac:dyDescent="0.2">
      <c r="A120" s="61" t="s">
        <v>244</v>
      </c>
      <c r="B120" s="62" t="s">
        <v>253</v>
      </c>
      <c r="C120" s="62" t="s">
        <v>403</v>
      </c>
      <c r="D120" s="62" t="s">
        <v>460</v>
      </c>
      <c r="E120" s="63" t="s">
        <v>461</v>
      </c>
      <c r="F120" s="62" t="s">
        <v>337</v>
      </c>
      <c r="G120" s="62" t="s">
        <v>161</v>
      </c>
      <c r="H120" s="62" t="s">
        <v>17</v>
      </c>
      <c r="I120" s="62" t="s">
        <v>157</v>
      </c>
      <c r="J120" s="62"/>
      <c r="K120" s="64">
        <v>15</v>
      </c>
      <c r="L120" s="64">
        <f t="shared" si="9"/>
        <v>6.7647058823529411</v>
      </c>
      <c r="M120" s="65">
        <f>prodnorm42</f>
        <v>0</v>
      </c>
      <c r="N120" s="66">
        <f>dagwerk42</f>
        <v>0</v>
      </c>
      <c r="O120" s="62" t="s">
        <v>45</v>
      </c>
      <c r="P120" s="67">
        <f>uurtarief42</f>
        <v>0</v>
      </c>
      <c r="Q120" s="64" t="e">
        <f t="shared" si="13"/>
        <v>#DIV/0!</v>
      </c>
      <c r="R120" s="64" t="e">
        <f t="shared" si="14"/>
        <v>#DIV/0!</v>
      </c>
      <c r="S120" s="67" t="e">
        <f t="shared" si="10"/>
        <v>#DIV/0!</v>
      </c>
      <c r="T120" s="64" t="e">
        <f t="shared" si="11"/>
        <v>#DIV/0!</v>
      </c>
      <c r="U120" s="68" t="e">
        <f t="shared" si="12"/>
        <v>#DIV/0!</v>
      </c>
    </row>
    <row r="121" spans="1:21" x14ac:dyDescent="0.2">
      <c r="A121" s="61" t="s">
        <v>244</v>
      </c>
      <c r="B121" s="62" t="s">
        <v>253</v>
      </c>
      <c r="C121" s="62" t="s">
        <v>403</v>
      </c>
      <c r="D121" s="62" t="s">
        <v>462</v>
      </c>
      <c r="E121" s="63" t="s">
        <v>463</v>
      </c>
      <c r="F121" s="62" t="s">
        <v>257</v>
      </c>
      <c r="G121" s="62" t="s">
        <v>207</v>
      </c>
      <c r="H121" s="62" t="s">
        <v>12</v>
      </c>
      <c r="I121" s="62" t="s">
        <v>157</v>
      </c>
      <c r="J121" s="62"/>
      <c r="K121" s="64">
        <v>19.7</v>
      </c>
      <c r="L121" s="64">
        <f t="shared" si="9"/>
        <v>17.768627450980393</v>
      </c>
      <c r="M121" s="65">
        <f>prodnorm86</f>
        <v>0</v>
      </c>
      <c r="N121" s="66">
        <f>dagwerk86</f>
        <v>0</v>
      </c>
      <c r="O121" s="62" t="s">
        <v>45</v>
      </c>
      <c r="P121" s="67">
        <f>uurtarief86</f>
        <v>0</v>
      </c>
      <c r="Q121" s="64" t="e">
        <f t="shared" si="13"/>
        <v>#DIV/0!</v>
      </c>
      <c r="R121" s="64" t="e">
        <f t="shared" si="14"/>
        <v>#DIV/0!</v>
      </c>
      <c r="S121" s="67" t="e">
        <f t="shared" si="10"/>
        <v>#DIV/0!</v>
      </c>
      <c r="T121" s="64" t="e">
        <f t="shared" si="11"/>
        <v>#DIV/0!</v>
      </c>
      <c r="U121" s="68" t="e">
        <f t="shared" si="12"/>
        <v>#DIV/0!</v>
      </c>
    </row>
    <row r="122" spans="1:21" x14ac:dyDescent="0.2">
      <c r="A122" s="61" t="s">
        <v>244</v>
      </c>
      <c r="B122" s="62" t="s">
        <v>253</v>
      </c>
      <c r="C122" s="62" t="s">
        <v>403</v>
      </c>
      <c r="D122" s="62" t="s">
        <v>464</v>
      </c>
      <c r="E122" s="63" t="s">
        <v>465</v>
      </c>
      <c r="F122" s="62" t="s">
        <v>257</v>
      </c>
      <c r="G122" s="62" t="s">
        <v>201</v>
      </c>
      <c r="H122" s="62" t="s">
        <v>12</v>
      </c>
      <c r="I122" s="62" t="s">
        <v>157</v>
      </c>
      <c r="J122" s="62"/>
      <c r="K122" s="64">
        <v>9</v>
      </c>
      <c r="L122" s="64">
        <f t="shared" si="9"/>
        <v>8.117647058823529</v>
      </c>
      <c r="M122" s="65">
        <f>prodnorm77</f>
        <v>0</v>
      </c>
      <c r="N122" s="66">
        <f>dagwerk77</f>
        <v>0</v>
      </c>
      <c r="O122" s="62" t="s">
        <v>45</v>
      </c>
      <c r="P122" s="67">
        <f>uurtarief77</f>
        <v>0</v>
      </c>
      <c r="Q122" s="64" t="e">
        <f t="shared" si="13"/>
        <v>#DIV/0!</v>
      </c>
      <c r="R122" s="64" t="e">
        <f t="shared" si="14"/>
        <v>#DIV/0!</v>
      </c>
      <c r="S122" s="67" t="e">
        <f t="shared" si="10"/>
        <v>#DIV/0!</v>
      </c>
      <c r="T122" s="64" t="e">
        <f t="shared" si="11"/>
        <v>#DIV/0!</v>
      </c>
      <c r="U122" s="68" t="e">
        <f t="shared" si="12"/>
        <v>#DIV/0!</v>
      </c>
    </row>
    <row r="123" spans="1:21" x14ac:dyDescent="0.2">
      <c r="A123" s="61" t="s">
        <v>244</v>
      </c>
      <c r="B123" s="62" t="s">
        <v>253</v>
      </c>
      <c r="C123" s="62" t="s">
        <v>403</v>
      </c>
      <c r="D123" s="62" t="s">
        <v>466</v>
      </c>
      <c r="E123" s="63" t="s">
        <v>467</v>
      </c>
      <c r="F123" s="62" t="s">
        <v>257</v>
      </c>
      <c r="G123" s="62" t="s">
        <v>161</v>
      </c>
      <c r="H123" s="62" t="s">
        <v>16</v>
      </c>
      <c r="I123" s="62" t="s">
        <v>157</v>
      </c>
      <c r="J123" s="62"/>
      <c r="K123" s="64">
        <v>14.8</v>
      </c>
      <c r="L123" s="64">
        <f t="shared" si="9"/>
        <v>7.3709803921568628</v>
      </c>
      <c r="M123" s="65">
        <f>prodnorm43</f>
        <v>0</v>
      </c>
      <c r="N123" s="66">
        <f>dagwerk43</f>
        <v>0</v>
      </c>
      <c r="O123" s="62" t="s">
        <v>45</v>
      </c>
      <c r="P123" s="67">
        <f>uurtarief43</f>
        <v>0</v>
      </c>
      <c r="Q123" s="64" t="e">
        <f t="shared" si="13"/>
        <v>#DIV/0!</v>
      </c>
      <c r="R123" s="64" t="e">
        <f t="shared" si="14"/>
        <v>#DIV/0!</v>
      </c>
      <c r="S123" s="67" t="e">
        <f t="shared" si="10"/>
        <v>#DIV/0!</v>
      </c>
      <c r="T123" s="64" t="e">
        <f t="shared" si="11"/>
        <v>#DIV/0!</v>
      </c>
      <c r="U123" s="68" t="e">
        <f t="shared" si="12"/>
        <v>#DIV/0!</v>
      </c>
    </row>
    <row r="124" spans="1:21" x14ac:dyDescent="0.2">
      <c r="A124" s="61" t="s">
        <v>244</v>
      </c>
      <c r="B124" s="62" t="s">
        <v>253</v>
      </c>
      <c r="C124" s="62" t="s">
        <v>403</v>
      </c>
      <c r="D124" s="62" t="s">
        <v>468</v>
      </c>
      <c r="E124" s="63" t="s">
        <v>469</v>
      </c>
      <c r="F124" s="62" t="s">
        <v>257</v>
      </c>
      <c r="G124" s="62" t="s">
        <v>171</v>
      </c>
      <c r="H124" s="62" t="s">
        <v>12</v>
      </c>
      <c r="I124" s="62" t="s">
        <v>157</v>
      </c>
      <c r="J124" s="62"/>
      <c r="K124" s="64">
        <v>51</v>
      </c>
      <c r="L124" s="64">
        <f t="shared" si="9"/>
        <v>46</v>
      </c>
      <c r="M124" s="65">
        <f>prodnorm55</f>
        <v>0</v>
      </c>
      <c r="N124" s="66">
        <f>dagwerk55</f>
        <v>0</v>
      </c>
      <c r="O124" s="62" t="s">
        <v>45</v>
      </c>
      <c r="P124" s="67">
        <f>uurtarief55</f>
        <v>0</v>
      </c>
      <c r="Q124" s="64" t="e">
        <f t="shared" si="13"/>
        <v>#DIV/0!</v>
      </c>
      <c r="R124" s="64" t="e">
        <f t="shared" si="14"/>
        <v>#DIV/0!</v>
      </c>
      <c r="S124" s="67" t="e">
        <f t="shared" si="10"/>
        <v>#DIV/0!</v>
      </c>
      <c r="T124" s="64" t="e">
        <f t="shared" si="11"/>
        <v>#DIV/0!</v>
      </c>
      <c r="U124" s="68" t="e">
        <f t="shared" si="12"/>
        <v>#DIV/0!</v>
      </c>
    </row>
    <row r="125" spans="1:21" x14ac:dyDescent="0.2">
      <c r="A125" s="61" t="s">
        <v>244</v>
      </c>
      <c r="B125" s="62" t="s">
        <v>253</v>
      </c>
      <c r="C125" s="62" t="s">
        <v>403</v>
      </c>
      <c r="D125" s="62" t="s">
        <v>470</v>
      </c>
      <c r="E125" s="63" t="s">
        <v>471</v>
      </c>
      <c r="F125" s="62" t="s">
        <v>257</v>
      </c>
      <c r="G125" s="62" t="s">
        <v>207</v>
      </c>
      <c r="H125" s="62" t="s">
        <v>12</v>
      </c>
      <c r="I125" s="62" t="s">
        <v>157</v>
      </c>
      <c r="J125" s="62"/>
      <c r="K125" s="64">
        <v>7.2</v>
      </c>
      <c r="L125" s="64">
        <f t="shared" si="9"/>
        <v>6.4941176470588236</v>
      </c>
      <c r="M125" s="65">
        <f>prodnorm86</f>
        <v>0</v>
      </c>
      <c r="N125" s="66">
        <f>dagwerk86</f>
        <v>0</v>
      </c>
      <c r="O125" s="62" t="s">
        <v>45</v>
      </c>
      <c r="P125" s="67">
        <f>uurtarief86</f>
        <v>0</v>
      </c>
      <c r="Q125" s="64" t="e">
        <f t="shared" si="13"/>
        <v>#DIV/0!</v>
      </c>
      <c r="R125" s="64" t="e">
        <f t="shared" si="14"/>
        <v>#DIV/0!</v>
      </c>
      <c r="S125" s="67" t="e">
        <f t="shared" si="10"/>
        <v>#DIV/0!</v>
      </c>
      <c r="T125" s="64" t="e">
        <f t="shared" si="11"/>
        <v>#DIV/0!</v>
      </c>
      <c r="U125" s="68" t="e">
        <f t="shared" si="12"/>
        <v>#DIV/0!</v>
      </c>
    </row>
    <row r="126" spans="1:21" x14ac:dyDescent="0.2">
      <c r="A126" s="61" t="s">
        <v>244</v>
      </c>
      <c r="B126" s="62" t="s">
        <v>253</v>
      </c>
      <c r="C126" s="62" t="s">
        <v>403</v>
      </c>
      <c r="D126" s="62" t="s">
        <v>472</v>
      </c>
      <c r="E126" s="63" t="s">
        <v>360</v>
      </c>
      <c r="F126" s="62" t="s">
        <v>257</v>
      </c>
      <c r="G126" s="62" t="s">
        <v>207</v>
      </c>
      <c r="H126" s="62" t="s">
        <v>12</v>
      </c>
      <c r="I126" s="62" t="s">
        <v>157</v>
      </c>
      <c r="J126" s="62"/>
      <c r="K126" s="64">
        <v>13.2</v>
      </c>
      <c r="L126" s="64">
        <f t="shared" si="9"/>
        <v>11.905882352941177</v>
      </c>
      <c r="M126" s="65">
        <f>prodnorm86</f>
        <v>0</v>
      </c>
      <c r="N126" s="66">
        <f>dagwerk86</f>
        <v>0</v>
      </c>
      <c r="O126" s="62" t="s">
        <v>45</v>
      </c>
      <c r="P126" s="67">
        <f>uurtarief86</f>
        <v>0</v>
      </c>
      <c r="Q126" s="64" t="e">
        <f t="shared" si="13"/>
        <v>#DIV/0!</v>
      </c>
      <c r="R126" s="64" t="e">
        <f t="shared" si="14"/>
        <v>#DIV/0!</v>
      </c>
      <c r="S126" s="67" t="e">
        <f t="shared" si="10"/>
        <v>#DIV/0!</v>
      </c>
      <c r="T126" s="64" t="e">
        <f t="shared" si="11"/>
        <v>#DIV/0!</v>
      </c>
      <c r="U126" s="68" t="e">
        <f t="shared" si="12"/>
        <v>#DIV/0!</v>
      </c>
    </row>
    <row r="127" spans="1:21" x14ac:dyDescent="0.2">
      <c r="A127" s="61" t="s">
        <v>244</v>
      </c>
      <c r="B127" s="62" t="s">
        <v>253</v>
      </c>
      <c r="C127" s="62" t="s">
        <v>403</v>
      </c>
      <c r="D127" s="62" t="s">
        <v>473</v>
      </c>
      <c r="E127" s="63" t="s">
        <v>474</v>
      </c>
      <c r="F127" s="62" t="s">
        <v>257</v>
      </c>
      <c r="G127" s="62" t="s">
        <v>207</v>
      </c>
      <c r="H127" s="62" t="s">
        <v>12</v>
      </c>
      <c r="I127" s="62" t="s">
        <v>157</v>
      </c>
      <c r="J127" s="62"/>
      <c r="K127" s="64">
        <v>25.2</v>
      </c>
      <c r="L127" s="64">
        <f t="shared" si="9"/>
        <v>22.729411764705883</v>
      </c>
      <c r="M127" s="65">
        <f>prodnorm86</f>
        <v>0</v>
      </c>
      <c r="N127" s="66">
        <f>dagwerk86</f>
        <v>0</v>
      </c>
      <c r="O127" s="62" t="s">
        <v>45</v>
      </c>
      <c r="P127" s="67">
        <f>uurtarief86</f>
        <v>0</v>
      </c>
      <c r="Q127" s="64" t="e">
        <f t="shared" si="13"/>
        <v>#DIV/0!</v>
      </c>
      <c r="R127" s="64" t="e">
        <f t="shared" si="14"/>
        <v>#DIV/0!</v>
      </c>
      <c r="S127" s="67" t="e">
        <f t="shared" si="10"/>
        <v>#DIV/0!</v>
      </c>
      <c r="T127" s="64" t="e">
        <f t="shared" si="11"/>
        <v>#DIV/0!</v>
      </c>
      <c r="U127" s="68" t="e">
        <f t="shared" si="12"/>
        <v>#DIV/0!</v>
      </c>
    </row>
    <row r="128" spans="1:21" ht="25.5" x14ac:dyDescent="0.2">
      <c r="A128" s="61" t="s">
        <v>244</v>
      </c>
      <c r="B128" s="62" t="s">
        <v>253</v>
      </c>
      <c r="C128" s="62" t="s">
        <v>403</v>
      </c>
      <c r="D128" s="62" t="s">
        <v>475</v>
      </c>
      <c r="E128" s="63" t="s">
        <v>476</v>
      </c>
      <c r="F128" s="62" t="s">
        <v>477</v>
      </c>
      <c r="G128" s="62" t="s">
        <v>175</v>
      </c>
      <c r="H128" s="62" t="s">
        <v>22</v>
      </c>
      <c r="I128" s="62" t="s">
        <v>157</v>
      </c>
      <c r="J128" s="62"/>
      <c r="K128" s="64">
        <v>1.4</v>
      </c>
      <c r="L128" s="64">
        <f t="shared" si="9"/>
        <v>0.27999999999999997</v>
      </c>
      <c r="M128" s="65">
        <f t="shared" ref="M128:M134" si="15">prodnorm57</f>
        <v>0</v>
      </c>
      <c r="N128" s="66">
        <f t="shared" ref="N128:N134" si="16">dagwerk57</f>
        <v>0</v>
      </c>
      <c r="O128" s="62" t="s">
        <v>45</v>
      </c>
      <c r="P128" s="67">
        <f t="shared" ref="P128:P134" si="17">uurtarief57</f>
        <v>0</v>
      </c>
      <c r="Q128" s="64" t="e">
        <f t="shared" si="13"/>
        <v>#DIV/0!</v>
      </c>
      <c r="R128" s="64" t="e">
        <f t="shared" si="14"/>
        <v>#DIV/0!</v>
      </c>
      <c r="S128" s="67" t="e">
        <f t="shared" si="10"/>
        <v>#DIV/0!</v>
      </c>
      <c r="T128" s="64" t="e">
        <f t="shared" si="11"/>
        <v>#DIV/0!</v>
      </c>
      <c r="U128" s="68" t="e">
        <f t="shared" si="12"/>
        <v>#DIV/0!</v>
      </c>
    </row>
    <row r="129" spans="1:21" x14ac:dyDescent="0.2">
      <c r="A129" s="61" t="s">
        <v>244</v>
      </c>
      <c r="B129" s="62" t="s">
        <v>253</v>
      </c>
      <c r="C129" s="62" t="s">
        <v>403</v>
      </c>
      <c r="D129" s="62" t="s">
        <v>478</v>
      </c>
      <c r="E129" s="63" t="s">
        <v>479</v>
      </c>
      <c r="F129" s="62" t="s">
        <v>257</v>
      </c>
      <c r="G129" s="62" t="s">
        <v>175</v>
      </c>
      <c r="H129" s="62" t="s">
        <v>22</v>
      </c>
      <c r="I129" s="62" t="s">
        <v>157</v>
      </c>
      <c r="J129" s="62"/>
      <c r="K129" s="64">
        <v>1.5</v>
      </c>
      <c r="L129" s="64">
        <f t="shared" si="9"/>
        <v>0.30000000000000004</v>
      </c>
      <c r="M129" s="65">
        <f t="shared" si="15"/>
        <v>0</v>
      </c>
      <c r="N129" s="66">
        <f t="shared" si="16"/>
        <v>0</v>
      </c>
      <c r="O129" s="62" t="s">
        <v>45</v>
      </c>
      <c r="P129" s="67">
        <f t="shared" si="17"/>
        <v>0</v>
      </c>
      <c r="Q129" s="64" t="e">
        <f t="shared" si="13"/>
        <v>#DIV/0!</v>
      </c>
      <c r="R129" s="64" t="e">
        <f t="shared" si="14"/>
        <v>#DIV/0!</v>
      </c>
      <c r="S129" s="67" t="e">
        <f t="shared" si="10"/>
        <v>#DIV/0!</v>
      </c>
      <c r="T129" s="64" t="e">
        <f t="shared" si="11"/>
        <v>#DIV/0!</v>
      </c>
      <c r="U129" s="68" t="e">
        <f t="shared" si="12"/>
        <v>#DIV/0!</v>
      </c>
    </row>
    <row r="130" spans="1:21" x14ac:dyDescent="0.2">
      <c r="A130" s="61" t="s">
        <v>244</v>
      </c>
      <c r="B130" s="62" t="s">
        <v>253</v>
      </c>
      <c r="C130" s="62" t="s">
        <v>403</v>
      </c>
      <c r="D130" s="62" t="s">
        <v>480</v>
      </c>
      <c r="E130" s="63" t="s">
        <v>481</v>
      </c>
      <c r="F130" s="62" t="s">
        <v>257</v>
      </c>
      <c r="G130" s="62" t="s">
        <v>175</v>
      </c>
      <c r="H130" s="62" t="s">
        <v>22</v>
      </c>
      <c r="I130" s="62" t="s">
        <v>157</v>
      </c>
      <c r="J130" s="62"/>
      <c r="K130" s="64">
        <v>2.1</v>
      </c>
      <c r="L130" s="64">
        <f t="shared" si="9"/>
        <v>0.42000000000000004</v>
      </c>
      <c r="M130" s="65">
        <f t="shared" si="15"/>
        <v>0</v>
      </c>
      <c r="N130" s="66">
        <f t="shared" si="16"/>
        <v>0</v>
      </c>
      <c r="O130" s="62" t="s">
        <v>45</v>
      </c>
      <c r="P130" s="67">
        <f t="shared" si="17"/>
        <v>0</v>
      </c>
      <c r="Q130" s="64" t="e">
        <f t="shared" si="13"/>
        <v>#DIV/0!</v>
      </c>
      <c r="R130" s="64" t="e">
        <f t="shared" si="14"/>
        <v>#DIV/0!</v>
      </c>
      <c r="S130" s="67" t="e">
        <f t="shared" si="10"/>
        <v>#DIV/0!</v>
      </c>
      <c r="T130" s="64" t="e">
        <f t="shared" si="11"/>
        <v>#DIV/0!</v>
      </c>
      <c r="U130" s="68" t="e">
        <f t="shared" si="12"/>
        <v>#DIV/0!</v>
      </c>
    </row>
    <row r="131" spans="1:21" x14ac:dyDescent="0.2">
      <c r="A131" s="61" t="s">
        <v>244</v>
      </c>
      <c r="B131" s="62" t="s">
        <v>253</v>
      </c>
      <c r="C131" s="62" t="s">
        <v>403</v>
      </c>
      <c r="D131" s="62" t="s">
        <v>482</v>
      </c>
      <c r="E131" s="63" t="s">
        <v>483</v>
      </c>
      <c r="F131" s="62" t="s">
        <v>257</v>
      </c>
      <c r="G131" s="62" t="s">
        <v>175</v>
      </c>
      <c r="H131" s="62" t="s">
        <v>22</v>
      </c>
      <c r="I131" s="62" t="s">
        <v>157</v>
      </c>
      <c r="J131" s="62"/>
      <c r="K131" s="64">
        <v>3.1</v>
      </c>
      <c r="L131" s="64">
        <f t="shared" si="9"/>
        <v>0.62000000000000011</v>
      </c>
      <c r="M131" s="65">
        <f t="shared" si="15"/>
        <v>0</v>
      </c>
      <c r="N131" s="66">
        <f t="shared" si="16"/>
        <v>0</v>
      </c>
      <c r="O131" s="62" t="s">
        <v>45</v>
      </c>
      <c r="P131" s="67">
        <f t="shared" si="17"/>
        <v>0</v>
      </c>
      <c r="Q131" s="64" t="e">
        <f t="shared" si="13"/>
        <v>#DIV/0!</v>
      </c>
      <c r="R131" s="64" t="e">
        <f t="shared" si="14"/>
        <v>#DIV/0!</v>
      </c>
      <c r="S131" s="67" t="e">
        <f t="shared" si="10"/>
        <v>#DIV/0!</v>
      </c>
      <c r="T131" s="64" t="e">
        <f t="shared" si="11"/>
        <v>#DIV/0!</v>
      </c>
      <c r="U131" s="68" t="e">
        <f t="shared" si="12"/>
        <v>#DIV/0!</v>
      </c>
    </row>
    <row r="132" spans="1:21" x14ac:dyDescent="0.2">
      <c r="A132" s="61" t="s">
        <v>244</v>
      </c>
      <c r="B132" s="62" t="s">
        <v>253</v>
      </c>
      <c r="C132" s="62" t="s">
        <v>403</v>
      </c>
      <c r="D132" s="62" t="s">
        <v>484</v>
      </c>
      <c r="E132" s="63" t="s">
        <v>485</v>
      </c>
      <c r="F132" s="62" t="s">
        <v>257</v>
      </c>
      <c r="G132" s="62" t="s">
        <v>175</v>
      </c>
      <c r="H132" s="62" t="s">
        <v>22</v>
      </c>
      <c r="I132" s="62" t="s">
        <v>157</v>
      </c>
      <c r="J132" s="62"/>
      <c r="K132" s="64">
        <v>2</v>
      </c>
      <c r="L132" s="64">
        <f t="shared" si="9"/>
        <v>0.4</v>
      </c>
      <c r="M132" s="65">
        <f t="shared" si="15"/>
        <v>0</v>
      </c>
      <c r="N132" s="66">
        <f t="shared" si="16"/>
        <v>0</v>
      </c>
      <c r="O132" s="62" t="s">
        <v>45</v>
      </c>
      <c r="P132" s="67">
        <f t="shared" si="17"/>
        <v>0</v>
      </c>
      <c r="Q132" s="64" t="e">
        <f t="shared" si="13"/>
        <v>#DIV/0!</v>
      </c>
      <c r="R132" s="64" t="e">
        <f t="shared" si="14"/>
        <v>#DIV/0!</v>
      </c>
      <c r="S132" s="67" t="e">
        <f t="shared" si="10"/>
        <v>#DIV/0!</v>
      </c>
      <c r="T132" s="64" t="e">
        <f t="shared" si="11"/>
        <v>#DIV/0!</v>
      </c>
      <c r="U132" s="68" t="e">
        <f t="shared" si="12"/>
        <v>#DIV/0!</v>
      </c>
    </row>
    <row r="133" spans="1:21" x14ac:dyDescent="0.2">
      <c r="A133" s="61" t="s">
        <v>244</v>
      </c>
      <c r="B133" s="62" t="s">
        <v>253</v>
      </c>
      <c r="C133" s="62" t="s">
        <v>403</v>
      </c>
      <c r="D133" s="62" t="s">
        <v>486</v>
      </c>
      <c r="E133" s="63" t="s">
        <v>487</v>
      </c>
      <c r="F133" s="62" t="s">
        <v>257</v>
      </c>
      <c r="G133" s="62" t="s">
        <v>175</v>
      </c>
      <c r="H133" s="62" t="s">
        <v>22</v>
      </c>
      <c r="I133" s="62" t="s">
        <v>157</v>
      </c>
      <c r="J133" s="62"/>
      <c r="K133" s="64">
        <v>12.8</v>
      </c>
      <c r="L133" s="64">
        <f t="shared" ref="L133:L196" si="18">K133*VLOOKUP(H133,dagsoorttabel1,2,FALSE)</f>
        <v>2.5600000000000005</v>
      </c>
      <c r="M133" s="65">
        <f t="shared" si="15"/>
        <v>0</v>
      </c>
      <c r="N133" s="66">
        <f t="shared" si="16"/>
        <v>0</v>
      </c>
      <c r="O133" s="62" t="s">
        <v>45</v>
      </c>
      <c r="P133" s="67">
        <f t="shared" si="17"/>
        <v>0</v>
      </c>
      <c r="Q133" s="64" t="e">
        <f t="shared" si="13"/>
        <v>#DIV/0!</v>
      </c>
      <c r="R133" s="64" t="e">
        <f t="shared" si="14"/>
        <v>#DIV/0!</v>
      </c>
      <c r="S133" s="67" t="e">
        <f t="shared" ref="S133:S196" si="19">ROUND(P133,2)*Q133</f>
        <v>#DIV/0!</v>
      </c>
      <c r="T133" s="64" t="e">
        <f t="shared" ref="T133:T196" si="20">Q133*dagenperjaar1</f>
        <v>#DIV/0!</v>
      </c>
      <c r="U133" s="68" t="e">
        <f t="shared" ref="U133:U196" si="21">T133*ROUND(P133,2)</f>
        <v>#DIV/0!</v>
      </c>
    </row>
    <row r="134" spans="1:21" x14ac:dyDescent="0.2">
      <c r="A134" s="61" t="s">
        <v>244</v>
      </c>
      <c r="B134" s="62" t="s">
        <v>253</v>
      </c>
      <c r="C134" s="62" t="s">
        <v>403</v>
      </c>
      <c r="D134" s="62" t="s">
        <v>488</v>
      </c>
      <c r="E134" s="63" t="s">
        <v>489</v>
      </c>
      <c r="F134" s="62" t="s">
        <v>257</v>
      </c>
      <c r="G134" s="62" t="s">
        <v>175</v>
      </c>
      <c r="H134" s="62" t="s">
        <v>22</v>
      </c>
      <c r="I134" s="62" t="s">
        <v>157</v>
      </c>
      <c r="J134" s="62"/>
      <c r="K134" s="64">
        <v>7.5</v>
      </c>
      <c r="L134" s="64">
        <f t="shared" si="18"/>
        <v>1.5</v>
      </c>
      <c r="M134" s="65">
        <f t="shared" si="15"/>
        <v>0</v>
      </c>
      <c r="N134" s="66">
        <f t="shared" si="16"/>
        <v>0</v>
      </c>
      <c r="O134" s="62" t="s">
        <v>45</v>
      </c>
      <c r="P134" s="67">
        <f t="shared" si="17"/>
        <v>0</v>
      </c>
      <c r="Q134" s="64" t="e">
        <f t="shared" si="13"/>
        <v>#DIV/0!</v>
      </c>
      <c r="R134" s="64" t="e">
        <f t="shared" si="14"/>
        <v>#DIV/0!</v>
      </c>
      <c r="S134" s="67" t="e">
        <f t="shared" si="19"/>
        <v>#DIV/0!</v>
      </c>
      <c r="T134" s="64" t="e">
        <f t="shared" si="20"/>
        <v>#DIV/0!</v>
      </c>
      <c r="U134" s="68" t="e">
        <f t="shared" si="21"/>
        <v>#DIV/0!</v>
      </c>
    </row>
    <row r="135" spans="1:21" x14ac:dyDescent="0.2">
      <c r="A135" s="61" t="s">
        <v>244</v>
      </c>
      <c r="B135" s="62" t="s">
        <v>253</v>
      </c>
      <c r="C135" s="62" t="s">
        <v>490</v>
      </c>
      <c r="D135" s="62" t="s">
        <v>491</v>
      </c>
      <c r="E135" s="63" t="s">
        <v>492</v>
      </c>
      <c r="F135" s="62" t="s">
        <v>257</v>
      </c>
      <c r="G135" s="62" t="s">
        <v>207</v>
      </c>
      <c r="H135" s="62" t="s">
        <v>17</v>
      </c>
      <c r="I135" s="62" t="s">
        <v>157</v>
      </c>
      <c r="J135" s="62"/>
      <c r="K135" s="64">
        <v>125.9</v>
      </c>
      <c r="L135" s="64">
        <f t="shared" si="18"/>
        <v>56.778431372549022</v>
      </c>
      <c r="M135" s="65">
        <f>prodnorm84</f>
        <v>0</v>
      </c>
      <c r="N135" s="66">
        <f>dagwerk84</f>
        <v>0</v>
      </c>
      <c r="O135" s="62" t="s">
        <v>45</v>
      </c>
      <c r="P135" s="67">
        <f>uurtarief84</f>
        <v>0</v>
      </c>
      <c r="Q135" s="64" t="e">
        <f t="shared" si="13"/>
        <v>#DIV/0!</v>
      </c>
      <c r="R135" s="64" t="e">
        <f t="shared" si="14"/>
        <v>#DIV/0!</v>
      </c>
      <c r="S135" s="67" t="e">
        <f t="shared" si="19"/>
        <v>#DIV/0!</v>
      </c>
      <c r="T135" s="64" t="e">
        <f t="shared" si="20"/>
        <v>#DIV/0!</v>
      </c>
      <c r="U135" s="68" t="e">
        <f t="shared" si="21"/>
        <v>#DIV/0!</v>
      </c>
    </row>
    <row r="136" spans="1:21" x14ac:dyDescent="0.2">
      <c r="A136" s="61" t="s">
        <v>244</v>
      </c>
      <c r="B136" s="62" t="s">
        <v>253</v>
      </c>
      <c r="C136" s="62" t="s">
        <v>490</v>
      </c>
      <c r="D136" s="62" t="s">
        <v>493</v>
      </c>
      <c r="E136" s="63" t="s">
        <v>494</v>
      </c>
      <c r="F136" s="62" t="s">
        <v>495</v>
      </c>
      <c r="G136" s="62" t="s">
        <v>181</v>
      </c>
      <c r="H136" s="62" t="s">
        <v>17</v>
      </c>
      <c r="I136" s="62" t="s">
        <v>157</v>
      </c>
      <c r="J136" s="62"/>
      <c r="K136" s="64">
        <v>325</v>
      </c>
      <c r="L136" s="64">
        <f t="shared" si="18"/>
        <v>146.56862745098039</v>
      </c>
      <c r="M136" s="65">
        <f>prodnorm60</f>
        <v>0</v>
      </c>
      <c r="N136" s="66">
        <f>dagwerk60</f>
        <v>0</v>
      </c>
      <c r="O136" s="62" t="s">
        <v>45</v>
      </c>
      <c r="P136" s="67">
        <f>uurtarief60</f>
        <v>0</v>
      </c>
      <c r="Q136" s="64" t="e">
        <f t="shared" si="13"/>
        <v>#DIV/0!</v>
      </c>
      <c r="R136" s="64" t="e">
        <f t="shared" si="14"/>
        <v>#DIV/0!</v>
      </c>
      <c r="S136" s="67" t="e">
        <f t="shared" si="19"/>
        <v>#DIV/0!</v>
      </c>
      <c r="T136" s="64" t="e">
        <f t="shared" si="20"/>
        <v>#DIV/0!</v>
      </c>
      <c r="U136" s="68" t="e">
        <f t="shared" si="21"/>
        <v>#DIV/0!</v>
      </c>
    </row>
    <row r="137" spans="1:21" x14ac:dyDescent="0.2">
      <c r="A137" s="61" t="s">
        <v>244</v>
      </c>
      <c r="B137" s="62" t="s">
        <v>253</v>
      </c>
      <c r="C137" s="62" t="s">
        <v>490</v>
      </c>
      <c r="D137" s="62" t="s">
        <v>496</v>
      </c>
      <c r="E137" s="63" t="s">
        <v>497</v>
      </c>
      <c r="F137" s="62" t="s">
        <v>257</v>
      </c>
      <c r="G137" s="62" t="s">
        <v>207</v>
      </c>
      <c r="H137" s="62" t="s">
        <v>17</v>
      </c>
      <c r="I137" s="62" t="s">
        <v>157</v>
      </c>
      <c r="J137" s="62"/>
      <c r="K137" s="64">
        <v>71.5</v>
      </c>
      <c r="L137" s="64">
        <f t="shared" si="18"/>
        <v>32.245098039215684</v>
      </c>
      <c r="M137" s="65">
        <f>prodnorm84</f>
        <v>0</v>
      </c>
      <c r="N137" s="66">
        <f>dagwerk84</f>
        <v>0</v>
      </c>
      <c r="O137" s="62" t="s">
        <v>45</v>
      </c>
      <c r="P137" s="67">
        <f>uurtarief84</f>
        <v>0</v>
      </c>
      <c r="Q137" s="64" t="e">
        <f t="shared" si="13"/>
        <v>#DIV/0!</v>
      </c>
      <c r="R137" s="64" t="e">
        <f t="shared" si="14"/>
        <v>#DIV/0!</v>
      </c>
      <c r="S137" s="67" t="e">
        <f t="shared" si="19"/>
        <v>#DIV/0!</v>
      </c>
      <c r="T137" s="64" t="e">
        <f t="shared" si="20"/>
        <v>#DIV/0!</v>
      </c>
      <c r="U137" s="68" t="e">
        <f t="shared" si="21"/>
        <v>#DIV/0!</v>
      </c>
    </row>
    <row r="138" spans="1:21" x14ac:dyDescent="0.2">
      <c r="A138" s="61" t="s">
        <v>244</v>
      </c>
      <c r="B138" s="62" t="s">
        <v>253</v>
      </c>
      <c r="C138" s="62" t="s">
        <v>490</v>
      </c>
      <c r="D138" s="62" t="s">
        <v>498</v>
      </c>
      <c r="E138" s="63" t="s">
        <v>499</v>
      </c>
      <c r="F138" s="62" t="s">
        <v>495</v>
      </c>
      <c r="G138" s="62" t="s">
        <v>177</v>
      </c>
      <c r="H138" s="62" t="s">
        <v>12</v>
      </c>
      <c r="I138" s="62" t="s">
        <v>157</v>
      </c>
      <c r="J138" s="62"/>
      <c r="K138" s="64">
        <v>119.8</v>
      </c>
      <c r="L138" s="64">
        <f t="shared" si="18"/>
        <v>108.05490196078431</v>
      </c>
      <c r="M138" s="65">
        <f>prodnorm58</f>
        <v>0</v>
      </c>
      <c r="N138" s="66">
        <f>dagwerk58</f>
        <v>0</v>
      </c>
      <c r="O138" s="62" t="s">
        <v>45</v>
      </c>
      <c r="P138" s="67">
        <f>uurtarief58</f>
        <v>0</v>
      </c>
      <c r="Q138" s="64" t="e">
        <f t="shared" si="13"/>
        <v>#DIV/0!</v>
      </c>
      <c r="R138" s="64" t="e">
        <f t="shared" si="14"/>
        <v>#DIV/0!</v>
      </c>
      <c r="S138" s="67" t="e">
        <f t="shared" si="19"/>
        <v>#DIV/0!</v>
      </c>
      <c r="T138" s="64" t="e">
        <f t="shared" si="20"/>
        <v>#DIV/0!</v>
      </c>
      <c r="U138" s="68" t="e">
        <f t="shared" si="21"/>
        <v>#DIV/0!</v>
      </c>
    </row>
    <row r="139" spans="1:21" x14ac:dyDescent="0.2">
      <c r="A139" s="61" t="s">
        <v>244</v>
      </c>
      <c r="B139" s="62" t="s">
        <v>253</v>
      </c>
      <c r="C139" s="62" t="s">
        <v>490</v>
      </c>
      <c r="D139" s="62" t="s">
        <v>500</v>
      </c>
      <c r="E139" s="63" t="s">
        <v>501</v>
      </c>
      <c r="F139" s="62" t="s">
        <v>257</v>
      </c>
      <c r="G139" s="62" t="s">
        <v>197</v>
      </c>
      <c r="H139" s="62" t="s">
        <v>12</v>
      </c>
      <c r="I139" s="62" t="s">
        <v>157</v>
      </c>
      <c r="J139" s="62"/>
      <c r="K139" s="64">
        <v>62.2</v>
      </c>
      <c r="L139" s="64">
        <f t="shared" si="18"/>
        <v>56.101960784313732</v>
      </c>
      <c r="M139" s="65">
        <f>prodnorm75</f>
        <v>0</v>
      </c>
      <c r="N139" s="66">
        <f>dagwerk75</f>
        <v>0</v>
      </c>
      <c r="O139" s="62" t="s">
        <v>45</v>
      </c>
      <c r="P139" s="67">
        <f>uurtarief75</f>
        <v>0</v>
      </c>
      <c r="Q139" s="64" t="e">
        <f t="shared" ref="Q139:Q202" si="22">IF(ISBLANK(M139),0,L139/ROUND(M139,4))</f>
        <v>#DIV/0!</v>
      </c>
      <c r="R139" s="64" t="e">
        <f t="shared" ref="R139:R202" si="23">IF(ISBLANK(M139),0,Q139*ROUND(N139,2))</f>
        <v>#DIV/0!</v>
      </c>
      <c r="S139" s="67" t="e">
        <f t="shared" si="19"/>
        <v>#DIV/0!</v>
      </c>
      <c r="T139" s="64" t="e">
        <f t="shared" si="20"/>
        <v>#DIV/0!</v>
      </c>
      <c r="U139" s="68" t="e">
        <f t="shared" si="21"/>
        <v>#DIV/0!</v>
      </c>
    </row>
    <row r="140" spans="1:21" x14ac:dyDescent="0.2">
      <c r="A140" s="61" t="s">
        <v>244</v>
      </c>
      <c r="B140" s="62" t="s">
        <v>253</v>
      </c>
      <c r="C140" s="62" t="s">
        <v>490</v>
      </c>
      <c r="D140" s="62" t="s">
        <v>502</v>
      </c>
      <c r="E140" s="63" t="s">
        <v>503</v>
      </c>
      <c r="F140" s="62" t="s">
        <v>257</v>
      </c>
      <c r="G140" s="62" t="s">
        <v>179</v>
      </c>
      <c r="H140" s="62" t="s">
        <v>12</v>
      </c>
      <c r="I140" s="62" t="s">
        <v>157</v>
      </c>
      <c r="J140" s="62"/>
      <c r="K140" s="64">
        <v>9.9</v>
      </c>
      <c r="L140" s="64">
        <f t="shared" si="18"/>
        <v>8.9294117647058826</v>
      </c>
      <c r="M140" s="65">
        <f>prodnorm59</f>
        <v>0</v>
      </c>
      <c r="N140" s="66">
        <f>dagwerk59</f>
        <v>0</v>
      </c>
      <c r="O140" s="62" t="s">
        <v>45</v>
      </c>
      <c r="P140" s="67">
        <f>uurtarief59</f>
        <v>0</v>
      </c>
      <c r="Q140" s="64" t="e">
        <f t="shared" si="22"/>
        <v>#DIV/0!</v>
      </c>
      <c r="R140" s="64" t="e">
        <f t="shared" si="23"/>
        <v>#DIV/0!</v>
      </c>
      <c r="S140" s="67" t="e">
        <f t="shared" si="19"/>
        <v>#DIV/0!</v>
      </c>
      <c r="T140" s="64" t="e">
        <f t="shared" si="20"/>
        <v>#DIV/0!</v>
      </c>
      <c r="U140" s="68" t="e">
        <f t="shared" si="21"/>
        <v>#DIV/0!</v>
      </c>
    </row>
    <row r="141" spans="1:21" x14ac:dyDescent="0.2">
      <c r="A141" s="61" t="s">
        <v>244</v>
      </c>
      <c r="B141" s="62" t="s">
        <v>253</v>
      </c>
      <c r="C141" s="62" t="s">
        <v>490</v>
      </c>
      <c r="D141" s="62" t="s">
        <v>504</v>
      </c>
      <c r="E141" s="63" t="s">
        <v>505</v>
      </c>
      <c r="F141" s="62" t="s">
        <v>257</v>
      </c>
      <c r="G141" s="62" t="s">
        <v>183</v>
      </c>
      <c r="H141" s="62" t="s">
        <v>12</v>
      </c>
      <c r="I141" s="62" t="s">
        <v>157</v>
      </c>
      <c r="J141" s="62"/>
      <c r="K141" s="64">
        <v>184.6</v>
      </c>
      <c r="L141" s="64">
        <f t="shared" si="18"/>
        <v>166.50196078431372</v>
      </c>
      <c r="M141" s="65">
        <f>prodnorm65</f>
        <v>0</v>
      </c>
      <c r="N141" s="66">
        <f>dagwerk65</f>
        <v>0</v>
      </c>
      <c r="O141" s="62" t="s">
        <v>45</v>
      </c>
      <c r="P141" s="67">
        <f>uurtarief65</f>
        <v>0</v>
      </c>
      <c r="Q141" s="64" t="e">
        <f t="shared" si="22"/>
        <v>#DIV/0!</v>
      </c>
      <c r="R141" s="64" t="e">
        <f t="shared" si="23"/>
        <v>#DIV/0!</v>
      </c>
      <c r="S141" s="67" t="e">
        <f t="shared" si="19"/>
        <v>#DIV/0!</v>
      </c>
      <c r="T141" s="64" t="e">
        <f t="shared" si="20"/>
        <v>#DIV/0!</v>
      </c>
      <c r="U141" s="68" t="e">
        <f t="shared" si="21"/>
        <v>#DIV/0!</v>
      </c>
    </row>
    <row r="142" spans="1:21" x14ac:dyDescent="0.2">
      <c r="A142" s="61" t="s">
        <v>244</v>
      </c>
      <c r="B142" s="62" t="s">
        <v>253</v>
      </c>
      <c r="C142" s="62" t="s">
        <v>490</v>
      </c>
      <c r="D142" s="62" t="s">
        <v>506</v>
      </c>
      <c r="E142" s="63" t="s">
        <v>507</v>
      </c>
      <c r="F142" s="62" t="s">
        <v>249</v>
      </c>
      <c r="G142" s="62" t="s">
        <v>201</v>
      </c>
      <c r="H142" s="62" t="s">
        <v>12</v>
      </c>
      <c r="I142" s="62" t="s">
        <v>157</v>
      </c>
      <c r="J142" s="62"/>
      <c r="K142" s="64">
        <v>12.4</v>
      </c>
      <c r="L142" s="64">
        <f t="shared" si="18"/>
        <v>11.184313725490197</v>
      </c>
      <c r="M142" s="65">
        <f>prodnorm77</f>
        <v>0</v>
      </c>
      <c r="N142" s="66">
        <f>dagwerk77</f>
        <v>0</v>
      </c>
      <c r="O142" s="62" t="s">
        <v>45</v>
      </c>
      <c r="P142" s="67">
        <f>uurtarief77</f>
        <v>0</v>
      </c>
      <c r="Q142" s="64" t="e">
        <f t="shared" si="22"/>
        <v>#DIV/0!</v>
      </c>
      <c r="R142" s="64" t="e">
        <f t="shared" si="23"/>
        <v>#DIV/0!</v>
      </c>
      <c r="S142" s="67" t="e">
        <f t="shared" si="19"/>
        <v>#DIV/0!</v>
      </c>
      <c r="T142" s="64" t="e">
        <f t="shared" si="20"/>
        <v>#DIV/0!</v>
      </c>
      <c r="U142" s="68" t="e">
        <f t="shared" si="21"/>
        <v>#DIV/0!</v>
      </c>
    </row>
    <row r="143" spans="1:21" x14ac:dyDescent="0.2">
      <c r="A143" s="61" t="s">
        <v>244</v>
      </c>
      <c r="B143" s="62" t="s">
        <v>253</v>
      </c>
      <c r="C143" s="62" t="s">
        <v>490</v>
      </c>
      <c r="D143" s="62" t="s">
        <v>508</v>
      </c>
      <c r="E143" s="63" t="s">
        <v>509</v>
      </c>
      <c r="F143" s="62" t="s">
        <v>249</v>
      </c>
      <c r="G143" s="62" t="s">
        <v>169</v>
      </c>
      <c r="H143" s="62" t="s">
        <v>12</v>
      </c>
      <c r="I143" s="62" t="s">
        <v>157</v>
      </c>
      <c r="J143" s="62"/>
      <c r="K143" s="64">
        <v>21.6</v>
      </c>
      <c r="L143" s="64">
        <f t="shared" si="18"/>
        <v>19.482352941176472</v>
      </c>
      <c r="M143" s="65">
        <f>prodnorm54</f>
        <v>0</v>
      </c>
      <c r="N143" s="66">
        <f>dagwerk54</f>
        <v>0</v>
      </c>
      <c r="O143" s="62" t="s">
        <v>45</v>
      </c>
      <c r="P143" s="67">
        <f>uurtarief54</f>
        <v>0</v>
      </c>
      <c r="Q143" s="64" t="e">
        <f t="shared" si="22"/>
        <v>#DIV/0!</v>
      </c>
      <c r="R143" s="64" t="e">
        <f t="shared" si="23"/>
        <v>#DIV/0!</v>
      </c>
      <c r="S143" s="67" t="e">
        <f t="shared" si="19"/>
        <v>#DIV/0!</v>
      </c>
      <c r="T143" s="64" t="e">
        <f t="shared" si="20"/>
        <v>#DIV/0!</v>
      </c>
      <c r="U143" s="68" t="e">
        <f t="shared" si="21"/>
        <v>#DIV/0!</v>
      </c>
    </row>
    <row r="144" spans="1:21" x14ac:dyDescent="0.2">
      <c r="A144" s="61" t="s">
        <v>244</v>
      </c>
      <c r="B144" s="62" t="s">
        <v>253</v>
      </c>
      <c r="C144" s="62" t="s">
        <v>490</v>
      </c>
      <c r="D144" s="62" t="s">
        <v>510</v>
      </c>
      <c r="E144" s="63" t="s">
        <v>511</v>
      </c>
      <c r="F144" s="62" t="s">
        <v>249</v>
      </c>
      <c r="G144" s="62" t="s">
        <v>201</v>
      </c>
      <c r="H144" s="62" t="s">
        <v>12</v>
      </c>
      <c r="I144" s="62" t="s">
        <v>157</v>
      </c>
      <c r="J144" s="62"/>
      <c r="K144" s="64">
        <v>9.6999999999999993</v>
      </c>
      <c r="L144" s="64">
        <f t="shared" si="18"/>
        <v>8.7490196078431364</v>
      </c>
      <c r="M144" s="65">
        <f>prodnorm77</f>
        <v>0</v>
      </c>
      <c r="N144" s="66">
        <f>dagwerk77</f>
        <v>0</v>
      </c>
      <c r="O144" s="62" t="s">
        <v>45</v>
      </c>
      <c r="P144" s="67">
        <f>uurtarief77</f>
        <v>0</v>
      </c>
      <c r="Q144" s="64" t="e">
        <f t="shared" si="22"/>
        <v>#DIV/0!</v>
      </c>
      <c r="R144" s="64" t="e">
        <f t="shared" si="23"/>
        <v>#DIV/0!</v>
      </c>
      <c r="S144" s="67" t="e">
        <f t="shared" si="19"/>
        <v>#DIV/0!</v>
      </c>
      <c r="T144" s="64" t="e">
        <f t="shared" si="20"/>
        <v>#DIV/0!</v>
      </c>
      <c r="U144" s="68" t="e">
        <f t="shared" si="21"/>
        <v>#DIV/0!</v>
      </c>
    </row>
    <row r="145" spans="1:21" x14ac:dyDescent="0.2">
      <c r="A145" s="61" t="s">
        <v>244</v>
      </c>
      <c r="B145" s="62" t="s">
        <v>253</v>
      </c>
      <c r="C145" s="62" t="s">
        <v>490</v>
      </c>
      <c r="D145" s="62" t="s">
        <v>512</v>
      </c>
      <c r="E145" s="63" t="s">
        <v>513</v>
      </c>
      <c r="F145" s="62" t="s">
        <v>249</v>
      </c>
      <c r="G145" s="62" t="s">
        <v>201</v>
      </c>
      <c r="H145" s="62" t="s">
        <v>12</v>
      </c>
      <c r="I145" s="62" t="s">
        <v>157</v>
      </c>
      <c r="J145" s="62"/>
      <c r="K145" s="64">
        <v>9.4</v>
      </c>
      <c r="L145" s="64">
        <f t="shared" si="18"/>
        <v>8.4784313725490197</v>
      </c>
      <c r="M145" s="65">
        <f>prodnorm77</f>
        <v>0</v>
      </c>
      <c r="N145" s="66">
        <f>dagwerk77</f>
        <v>0</v>
      </c>
      <c r="O145" s="62" t="s">
        <v>45</v>
      </c>
      <c r="P145" s="67">
        <f>uurtarief77</f>
        <v>0</v>
      </c>
      <c r="Q145" s="64" t="e">
        <f t="shared" si="22"/>
        <v>#DIV/0!</v>
      </c>
      <c r="R145" s="64" t="e">
        <f t="shared" si="23"/>
        <v>#DIV/0!</v>
      </c>
      <c r="S145" s="67" t="e">
        <f t="shared" si="19"/>
        <v>#DIV/0!</v>
      </c>
      <c r="T145" s="64" t="e">
        <f t="shared" si="20"/>
        <v>#DIV/0!</v>
      </c>
      <c r="U145" s="68" t="e">
        <f t="shared" si="21"/>
        <v>#DIV/0!</v>
      </c>
    </row>
    <row r="146" spans="1:21" x14ac:dyDescent="0.2">
      <c r="A146" s="61" t="s">
        <v>244</v>
      </c>
      <c r="B146" s="62" t="s">
        <v>253</v>
      </c>
      <c r="C146" s="62" t="s">
        <v>490</v>
      </c>
      <c r="D146" s="62" t="s">
        <v>514</v>
      </c>
      <c r="E146" s="63" t="s">
        <v>515</v>
      </c>
      <c r="F146" s="62" t="s">
        <v>257</v>
      </c>
      <c r="G146" s="62" t="s">
        <v>183</v>
      </c>
      <c r="H146" s="62" t="s">
        <v>12</v>
      </c>
      <c r="I146" s="62" t="s">
        <v>157</v>
      </c>
      <c r="J146" s="62"/>
      <c r="K146" s="64">
        <v>164.5</v>
      </c>
      <c r="L146" s="64">
        <f t="shared" si="18"/>
        <v>148.37254901960785</v>
      </c>
      <c r="M146" s="65">
        <f>prodnorm65</f>
        <v>0</v>
      </c>
      <c r="N146" s="66">
        <f>dagwerk65</f>
        <v>0</v>
      </c>
      <c r="O146" s="62" t="s">
        <v>45</v>
      </c>
      <c r="P146" s="67">
        <f>uurtarief65</f>
        <v>0</v>
      </c>
      <c r="Q146" s="64" t="e">
        <f t="shared" si="22"/>
        <v>#DIV/0!</v>
      </c>
      <c r="R146" s="64" t="e">
        <f t="shared" si="23"/>
        <v>#DIV/0!</v>
      </c>
      <c r="S146" s="67" t="e">
        <f t="shared" si="19"/>
        <v>#DIV/0!</v>
      </c>
      <c r="T146" s="64" t="e">
        <f t="shared" si="20"/>
        <v>#DIV/0!</v>
      </c>
      <c r="U146" s="68" t="e">
        <f t="shared" si="21"/>
        <v>#DIV/0!</v>
      </c>
    </row>
    <row r="147" spans="1:21" x14ac:dyDescent="0.2">
      <c r="A147" s="61" t="s">
        <v>244</v>
      </c>
      <c r="B147" s="62" t="s">
        <v>253</v>
      </c>
      <c r="C147" s="62" t="s">
        <v>490</v>
      </c>
      <c r="D147" s="62" t="s">
        <v>516</v>
      </c>
      <c r="E147" s="63" t="s">
        <v>517</v>
      </c>
      <c r="F147" s="62" t="s">
        <v>249</v>
      </c>
      <c r="G147" s="62" t="s">
        <v>201</v>
      </c>
      <c r="H147" s="62" t="s">
        <v>12</v>
      </c>
      <c r="I147" s="62" t="s">
        <v>157</v>
      </c>
      <c r="J147" s="62"/>
      <c r="K147" s="64">
        <v>12.4</v>
      </c>
      <c r="L147" s="64">
        <f t="shared" si="18"/>
        <v>11.184313725490197</v>
      </c>
      <c r="M147" s="65">
        <f>prodnorm77</f>
        <v>0</v>
      </c>
      <c r="N147" s="66">
        <f>dagwerk77</f>
        <v>0</v>
      </c>
      <c r="O147" s="62" t="s">
        <v>45</v>
      </c>
      <c r="P147" s="67">
        <f>uurtarief77</f>
        <v>0</v>
      </c>
      <c r="Q147" s="64" t="e">
        <f t="shared" si="22"/>
        <v>#DIV/0!</v>
      </c>
      <c r="R147" s="64" t="e">
        <f t="shared" si="23"/>
        <v>#DIV/0!</v>
      </c>
      <c r="S147" s="67" t="e">
        <f t="shared" si="19"/>
        <v>#DIV/0!</v>
      </c>
      <c r="T147" s="64" t="e">
        <f t="shared" si="20"/>
        <v>#DIV/0!</v>
      </c>
      <c r="U147" s="68" t="e">
        <f t="shared" si="21"/>
        <v>#DIV/0!</v>
      </c>
    </row>
    <row r="148" spans="1:21" x14ac:dyDescent="0.2">
      <c r="A148" s="61" t="s">
        <v>244</v>
      </c>
      <c r="B148" s="62" t="s">
        <v>253</v>
      </c>
      <c r="C148" s="62" t="s">
        <v>490</v>
      </c>
      <c r="D148" s="62" t="s">
        <v>518</v>
      </c>
      <c r="E148" s="63" t="s">
        <v>519</v>
      </c>
      <c r="F148" s="62" t="s">
        <v>249</v>
      </c>
      <c r="G148" s="62" t="s">
        <v>169</v>
      </c>
      <c r="H148" s="62" t="s">
        <v>12</v>
      </c>
      <c r="I148" s="62" t="s">
        <v>157</v>
      </c>
      <c r="J148" s="62"/>
      <c r="K148" s="64">
        <v>21.6</v>
      </c>
      <c r="L148" s="64">
        <f t="shared" si="18"/>
        <v>19.482352941176472</v>
      </c>
      <c r="M148" s="65">
        <f>prodnorm54</f>
        <v>0</v>
      </c>
      <c r="N148" s="66">
        <f>dagwerk54</f>
        <v>0</v>
      </c>
      <c r="O148" s="62" t="s">
        <v>45</v>
      </c>
      <c r="P148" s="67">
        <f>uurtarief54</f>
        <v>0</v>
      </c>
      <c r="Q148" s="64" t="e">
        <f t="shared" si="22"/>
        <v>#DIV/0!</v>
      </c>
      <c r="R148" s="64" t="e">
        <f t="shared" si="23"/>
        <v>#DIV/0!</v>
      </c>
      <c r="S148" s="67" t="e">
        <f t="shared" si="19"/>
        <v>#DIV/0!</v>
      </c>
      <c r="T148" s="64" t="e">
        <f t="shared" si="20"/>
        <v>#DIV/0!</v>
      </c>
      <c r="U148" s="68" t="e">
        <f t="shared" si="21"/>
        <v>#DIV/0!</v>
      </c>
    </row>
    <row r="149" spans="1:21" x14ac:dyDescent="0.2">
      <c r="A149" s="61" t="s">
        <v>244</v>
      </c>
      <c r="B149" s="62" t="s">
        <v>253</v>
      </c>
      <c r="C149" s="62" t="s">
        <v>490</v>
      </c>
      <c r="D149" s="62" t="s">
        <v>520</v>
      </c>
      <c r="E149" s="63" t="s">
        <v>521</v>
      </c>
      <c r="F149" s="62" t="s">
        <v>289</v>
      </c>
      <c r="G149" s="62" t="s">
        <v>205</v>
      </c>
      <c r="H149" s="62" t="s">
        <v>22</v>
      </c>
      <c r="I149" s="62" t="s">
        <v>157</v>
      </c>
      <c r="J149" s="62"/>
      <c r="K149" s="64">
        <v>15</v>
      </c>
      <c r="L149" s="64">
        <f t="shared" si="18"/>
        <v>3</v>
      </c>
      <c r="M149" s="65">
        <f>prodnorm83</f>
        <v>0</v>
      </c>
      <c r="N149" s="66">
        <f>dagwerk83</f>
        <v>0</v>
      </c>
      <c r="O149" s="62" t="s">
        <v>45</v>
      </c>
      <c r="P149" s="67">
        <f>uurtarief83</f>
        <v>0</v>
      </c>
      <c r="Q149" s="64" t="e">
        <f t="shared" si="22"/>
        <v>#DIV/0!</v>
      </c>
      <c r="R149" s="64" t="e">
        <f t="shared" si="23"/>
        <v>#DIV/0!</v>
      </c>
      <c r="S149" s="67" t="e">
        <f t="shared" si="19"/>
        <v>#DIV/0!</v>
      </c>
      <c r="T149" s="64" t="e">
        <f t="shared" si="20"/>
        <v>#DIV/0!</v>
      </c>
      <c r="U149" s="68" t="e">
        <f t="shared" si="21"/>
        <v>#DIV/0!</v>
      </c>
    </row>
    <row r="150" spans="1:21" x14ac:dyDescent="0.2">
      <c r="A150" s="61" t="s">
        <v>244</v>
      </c>
      <c r="B150" s="62" t="s">
        <v>253</v>
      </c>
      <c r="C150" s="62" t="s">
        <v>490</v>
      </c>
      <c r="D150" s="62" t="s">
        <v>522</v>
      </c>
      <c r="E150" s="63" t="s">
        <v>523</v>
      </c>
      <c r="F150" s="62" t="s">
        <v>257</v>
      </c>
      <c r="G150" s="62" t="s">
        <v>161</v>
      </c>
      <c r="H150" s="62" t="s">
        <v>17</v>
      </c>
      <c r="I150" s="62" t="s">
        <v>157</v>
      </c>
      <c r="J150" s="62"/>
      <c r="K150" s="64">
        <v>8.6</v>
      </c>
      <c r="L150" s="64">
        <f t="shared" si="18"/>
        <v>3.8784313725490196</v>
      </c>
      <c r="M150" s="65">
        <f>prodnorm42</f>
        <v>0</v>
      </c>
      <c r="N150" s="66">
        <f>dagwerk42</f>
        <v>0</v>
      </c>
      <c r="O150" s="62" t="s">
        <v>45</v>
      </c>
      <c r="P150" s="67">
        <f>uurtarief42</f>
        <v>0</v>
      </c>
      <c r="Q150" s="64" t="e">
        <f t="shared" si="22"/>
        <v>#DIV/0!</v>
      </c>
      <c r="R150" s="64" t="e">
        <f t="shared" si="23"/>
        <v>#DIV/0!</v>
      </c>
      <c r="S150" s="67" t="e">
        <f t="shared" si="19"/>
        <v>#DIV/0!</v>
      </c>
      <c r="T150" s="64" t="e">
        <f t="shared" si="20"/>
        <v>#DIV/0!</v>
      </c>
      <c r="U150" s="68" t="e">
        <f t="shared" si="21"/>
        <v>#DIV/0!</v>
      </c>
    </row>
    <row r="151" spans="1:21" x14ac:dyDescent="0.2">
      <c r="A151" s="61" t="s">
        <v>244</v>
      </c>
      <c r="B151" s="62" t="s">
        <v>253</v>
      </c>
      <c r="C151" s="62" t="s">
        <v>490</v>
      </c>
      <c r="D151" s="62" t="s">
        <v>524</v>
      </c>
      <c r="E151" s="63" t="s">
        <v>525</v>
      </c>
      <c r="F151" s="62" t="s">
        <v>257</v>
      </c>
      <c r="G151" s="62" t="s">
        <v>161</v>
      </c>
      <c r="H151" s="62" t="s">
        <v>17</v>
      </c>
      <c r="I151" s="62" t="s">
        <v>157</v>
      </c>
      <c r="J151" s="62"/>
      <c r="K151" s="64">
        <v>16.8</v>
      </c>
      <c r="L151" s="64">
        <f t="shared" si="18"/>
        <v>7.5764705882352947</v>
      </c>
      <c r="M151" s="65">
        <f>prodnorm42</f>
        <v>0</v>
      </c>
      <c r="N151" s="66">
        <f>dagwerk42</f>
        <v>0</v>
      </c>
      <c r="O151" s="62" t="s">
        <v>45</v>
      </c>
      <c r="P151" s="67">
        <f>uurtarief42</f>
        <v>0</v>
      </c>
      <c r="Q151" s="64" t="e">
        <f t="shared" si="22"/>
        <v>#DIV/0!</v>
      </c>
      <c r="R151" s="64" t="e">
        <f t="shared" si="23"/>
        <v>#DIV/0!</v>
      </c>
      <c r="S151" s="67" t="e">
        <f t="shared" si="19"/>
        <v>#DIV/0!</v>
      </c>
      <c r="T151" s="64" t="e">
        <f t="shared" si="20"/>
        <v>#DIV/0!</v>
      </c>
      <c r="U151" s="68" t="e">
        <f t="shared" si="21"/>
        <v>#DIV/0!</v>
      </c>
    </row>
    <row r="152" spans="1:21" x14ac:dyDescent="0.2">
      <c r="A152" s="61" t="s">
        <v>244</v>
      </c>
      <c r="B152" s="62" t="s">
        <v>253</v>
      </c>
      <c r="C152" s="62" t="s">
        <v>490</v>
      </c>
      <c r="D152" s="62" t="s">
        <v>526</v>
      </c>
      <c r="E152" s="63" t="s">
        <v>306</v>
      </c>
      <c r="F152" s="62" t="s">
        <v>289</v>
      </c>
      <c r="G152" s="62" t="s">
        <v>205</v>
      </c>
      <c r="H152" s="62" t="s">
        <v>22</v>
      </c>
      <c r="I152" s="62" t="s">
        <v>157</v>
      </c>
      <c r="J152" s="62"/>
      <c r="K152" s="64">
        <v>16.3</v>
      </c>
      <c r="L152" s="64">
        <f t="shared" si="18"/>
        <v>3.2600000000000002</v>
      </c>
      <c r="M152" s="65">
        <f>prodnorm83</f>
        <v>0</v>
      </c>
      <c r="N152" s="66">
        <f>dagwerk83</f>
        <v>0</v>
      </c>
      <c r="O152" s="62" t="s">
        <v>45</v>
      </c>
      <c r="P152" s="67">
        <f>uurtarief83</f>
        <v>0</v>
      </c>
      <c r="Q152" s="64" t="e">
        <f t="shared" si="22"/>
        <v>#DIV/0!</v>
      </c>
      <c r="R152" s="64" t="e">
        <f t="shared" si="23"/>
        <v>#DIV/0!</v>
      </c>
      <c r="S152" s="67" t="e">
        <f t="shared" si="19"/>
        <v>#DIV/0!</v>
      </c>
      <c r="T152" s="64" t="e">
        <f t="shared" si="20"/>
        <v>#DIV/0!</v>
      </c>
      <c r="U152" s="68" t="e">
        <f t="shared" si="21"/>
        <v>#DIV/0!</v>
      </c>
    </row>
    <row r="153" spans="1:21" ht="25.5" x14ac:dyDescent="0.2">
      <c r="A153" s="61" t="s">
        <v>244</v>
      </c>
      <c r="B153" s="62" t="s">
        <v>253</v>
      </c>
      <c r="C153" s="62" t="s">
        <v>490</v>
      </c>
      <c r="D153" s="62" t="s">
        <v>527</v>
      </c>
      <c r="E153" s="63" t="s">
        <v>528</v>
      </c>
      <c r="F153" s="62" t="s">
        <v>257</v>
      </c>
      <c r="G153" s="62" t="s">
        <v>161</v>
      </c>
      <c r="H153" s="62" t="s">
        <v>17</v>
      </c>
      <c r="I153" s="62" t="s">
        <v>157</v>
      </c>
      <c r="J153" s="62"/>
      <c r="K153" s="64">
        <v>51</v>
      </c>
      <c r="L153" s="64">
        <f t="shared" si="18"/>
        <v>23</v>
      </c>
      <c r="M153" s="65">
        <f>prodnorm42</f>
        <v>0</v>
      </c>
      <c r="N153" s="66">
        <f>dagwerk42</f>
        <v>0</v>
      </c>
      <c r="O153" s="62" t="s">
        <v>45</v>
      </c>
      <c r="P153" s="67">
        <f>uurtarief42</f>
        <v>0</v>
      </c>
      <c r="Q153" s="64" t="e">
        <f t="shared" si="22"/>
        <v>#DIV/0!</v>
      </c>
      <c r="R153" s="64" t="e">
        <f t="shared" si="23"/>
        <v>#DIV/0!</v>
      </c>
      <c r="S153" s="67" t="e">
        <f t="shared" si="19"/>
        <v>#DIV/0!</v>
      </c>
      <c r="T153" s="64" t="e">
        <f t="shared" si="20"/>
        <v>#DIV/0!</v>
      </c>
      <c r="U153" s="68" t="e">
        <f t="shared" si="21"/>
        <v>#DIV/0!</v>
      </c>
    </row>
    <row r="154" spans="1:21" x14ac:dyDescent="0.2">
      <c r="A154" s="61" t="s">
        <v>244</v>
      </c>
      <c r="B154" s="62" t="s">
        <v>253</v>
      </c>
      <c r="C154" s="62" t="s">
        <v>490</v>
      </c>
      <c r="D154" s="62" t="s">
        <v>529</v>
      </c>
      <c r="E154" s="63" t="s">
        <v>530</v>
      </c>
      <c r="F154" s="62" t="s">
        <v>257</v>
      </c>
      <c r="G154" s="62" t="s">
        <v>209</v>
      </c>
      <c r="H154" s="62" t="s">
        <v>12</v>
      </c>
      <c r="I154" s="62" t="s">
        <v>157</v>
      </c>
      <c r="J154" s="62"/>
      <c r="K154" s="64">
        <v>25</v>
      </c>
      <c r="L154" s="64">
        <f t="shared" si="18"/>
        <v>22.549019607843139</v>
      </c>
      <c r="M154" s="65">
        <f>prodnorm91</f>
        <v>0</v>
      </c>
      <c r="N154" s="66">
        <f>dagwerk91</f>
        <v>0</v>
      </c>
      <c r="O154" s="62" t="s">
        <v>45</v>
      </c>
      <c r="P154" s="67">
        <f>uurtarief91</f>
        <v>0</v>
      </c>
      <c r="Q154" s="64" t="e">
        <f t="shared" si="22"/>
        <v>#DIV/0!</v>
      </c>
      <c r="R154" s="64" t="e">
        <f t="shared" si="23"/>
        <v>#DIV/0!</v>
      </c>
      <c r="S154" s="67" t="e">
        <f t="shared" si="19"/>
        <v>#DIV/0!</v>
      </c>
      <c r="T154" s="64" t="e">
        <f t="shared" si="20"/>
        <v>#DIV/0!</v>
      </c>
      <c r="U154" s="68" t="e">
        <f t="shared" si="21"/>
        <v>#DIV/0!</v>
      </c>
    </row>
    <row r="155" spans="1:21" x14ac:dyDescent="0.2">
      <c r="A155" s="61" t="s">
        <v>244</v>
      </c>
      <c r="B155" s="62" t="s">
        <v>253</v>
      </c>
      <c r="C155" s="62" t="s">
        <v>490</v>
      </c>
      <c r="D155" s="62" t="s">
        <v>531</v>
      </c>
      <c r="E155" s="63" t="s">
        <v>532</v>
      </c>
      <c r="F155" s="62" t="s">
        <v>257</v>
      </c>
      <c r="G155" s="62" t="s">
        <v>187</v>
      </c>
      <c r="H155" s="62" t="s">
        <v>12</v>
      </c>
      <c r="I155" s="62" t="s">
        <v>157</v>
      </c>
      <c r="J155" s="62"/>
      <c r="K155" s="64">
        <v>26.2</v>
      </c>
      <c r="L155" s="64">
        <f t="shared" si="18"/>
        <v>23.631372549019609</v>
      </c>
      <c r="M155" s="65">
        <f>prodnorm67</f>
        <v>0</v>
      </c>
      <c r="N155" s="66">
        <f>dagwerk67</f>
        <v>0</v>
      </c>
      <c r="O155" s="62" t="s">
        <v>45</v>
      </c>
      <c r="P155" s="67">
        <f>uurtarief67</f>
        <v>0</v>
      </c>
      <c r="Q155" s="64" t="e">
        <f t="shared" si="22"/>
        <v>#DIV/0!</v>
      </c>
      <c r="R155" s="64" t="e">
        <f t="shared" si="23"/>
        <v>#DIV/0!</v>
      </c>
      <c r="S155" s="67" t="e">
        <f t="shared" si="19"/>
        <v>#DIV/0!</v>
      </c>
      <c r="T155" s="64" t="e">
        <f t="shared" si="20"/>
        <v>#DIV/0!</v>
      </c>
      <c r="U155" s="68" t="e">
        <f t="shared" si="21"/>
        <v>#DIV/0!</v>
      </c>
    </row>
    <row r="156" spans="1:21" ht="25.5" x14ac:dyDescent="0.2">
      <c r="A156" s="61" t="s">
        <v>244</v>
      </c>
      <c r="B156" s="62" t="s">
        <v>253</v>
      </c>
      <c r="C156" s="62" t="s">
        <v>490</v>
      </c>
      <c r="D156" s="62" t="s">
        <v>533</v>
      </c>
      <c r="E156" s="63" t="s">
        <v>534</v>
      </c>
      <c r="F156" s="62" t="s">
        <v>257</v>
      </c>
      <c r="G156" s="62" t="s">
        <v>161</v>
      </c>
      <c r="H156" s="62" t="s">
        <v>12</v>
      </c>
      <c r="I156" s="62" t="s">
        <v>157</v>
      </c>
      <c r="J156" s="62"/>
      <c r="K156" s="64">
        <v>24.5</v>
      </c>
      <c r="L156" s="64">
        <f t="shared" si="18"/>
        <v>22.098039215686274</v>
      </c>
      <c r="M156" s="65">
        <f>prodnorm44</f>
        <v>0</v>
      </c>
      <c r="N156" s="66">
        <f>dagwerk44</f>
        <v>0</v>
      </c>
      <c r="O156" s="62" t="s">
        <v>45</v>
      </c>
      <c r="P156" s="67">
        <f>uurtarief44</f>
        <v>0</v>
      </c>
      <c r="Q156" s="64" t="e">
        <f t="shared" si="22"/>
        <v>#DIV/0!</v>
      </c>
      <c r="R156" s="64" t="e">
        <f t="shared" si="23"/>
        <v>#DIV/0!</v>
      </c>
      <c r="S156" s="67" t="e">
        <f t="shared" si="19"/>
        <v>#DIV/0!</v>
      </c>
      <c r="T156" s="64" t="e">
        <f t="shared" si="20"/>
        <v>#DIV/0!</v>
      </c>
      <c r="U156" s="68" t="e">
        <f t="shared" si="21"/>
        <v>#DIV/0!</v>
      </c>
    </row>
    <row r="157" spans="1:21" x14ac:dyDescent="0.2">
      <c r="A157" s="61" t="s">
        <v>244</v>
      </c>
      <c r="B157" s="62" t="s">
        <v>253</v>
      </c>
      <c r="C157" s="62" t="s">
        <v>490</v>
      </c>
      <c r="D157" s="62" t="s">
        <v>535</v>
      </c>
      <c r="E157" s="63" t="s">
        <v>536</v>
      </c>
      <c r="F157" s="62" t="s">
        <v>257</v>
      </c>
      <c r="G157" s="62" t="s">
        <v>183</v>
      </c>
      <c r="H157" s="62" t="s">
        <v>12</v>
      </c>
      <c r="I157" s="62" t="s">
        <v>157</v>
      </c>
      <c r="J157" s="62"/>
      <c r="K157" s="64">
        <v>42.3</v>
      </c>
      <c r="L157" s="64">
        <f t="shared" si="18"/>
        <v>38.152941176470584</v>
      </c>
      <c r="M157" s="65">
        <f>prodnorm65</f>
        <v>0</v>
      </c>
      <c r="N157" s="66">
        <f>dagwerk65</f>
        <v>0</v>
      </c>
      <c r="O157" s="62" t="s">
        <v>45</v>
      </c>
      <c r="P157" s="67">
        <f>uurtarief65</f>
        <v>0</v>
      </c>
      <c r="Q157" s="64" t="e">
        <f t="shared" si="22"/>
        <v>#DIV/0!</v>
      </c>
      <c r="R157" s="64" t="e">
        <f t="shared" si="23"/>
        <v>#DIV/0!</v>
      </c>
      <c r="S157" s="67" t="e">
        <f t="shared" si="19"/>
        <v>#DIV/0!</v>
      </c>
      <c r="T157" s="64" t="e">
        <f t="shared" si="20"/>
        <v>#DIV/0!</v>
      </c>
      <c r="U157" s="68" t="e">
        <f t="shared" si="21"/>
        <v>#DIV/0!</v>
      </c>
    </row>
    <row r="158" spans="1:21" x14ac:dyDescent="0.2">
      <c r="A158" s="61" t="s">
        <v>244</v>
      </c>
      <c r="B158" s="62" t="s">
        <v>253</v>
      </c>
      <c r="C158" s="62" t="s">
        <v>490</v>
      </c>
      <c r="D158" s="62" t="s">
        <v>537</v>
      </c>
      <c r="E158" s="63" t="s">
        <v>538</v>
      </c>
      <c r="F158" s="62" t="s">
        <v>257</v>
      </c>
      <c r="G158" s="62" t="s">
        <v>161</v>
      </c>
      <c r="H158" s="62" t="s">
        <v>17</v>
      </c>
      <c r="I158" s="62" t="s">
        <v>157</v>
      </c>
      <c r="J158" s="62"/>
      <c r="K158" s="64">
        <v>24</v>
      </c>
      <c r="L158" s="64">
        <f t="shared" si="18"/>
        <v>10.823529411764707</v>
      </c>
      <c r="M158" s="65">
        <f>prodnorm42</f>
        <v>0</v>
      </c>
      <c r="N158" s="66">
        <f>dagwerk42</f>
        <v>0</v>
      </c>
      <c r="O158" s="62" t="s">
        <v>45</v>
      </c>
      <c r="P158" s="67">
        <f>uurtarief42</f>
        <v>0</v>
      </c>
      <c r="Q158" s="64" t="e">
        <f t="shared" si="22"/>
        <v>#DIV/0!</v>
      </c>
      <c r="R158" s="64" t="e">
        <f t="shared" si="23"/>
        <v>#DIV/0!</v>
      </c>
      <c r="S158" s="67" t="e">
        <f t="shared" si="19"/>
        <v>#DIV/0!</v>
      </c>
      <c r="T158" s="64" t="e">
        <f t="shared" si="20"/>
        <v>#DIV/0!</v>
      </c>
      <c r="U158" s="68" t="e">
        <f t="shared" si="21"/>
        <v>#DIV/0!</v>
      </c>
    </row>
    <row r="159" spans="1:21" x14ac:dyDescent="0.2">
      <c r="A159" s="61" t="s">
        <v>244</v>
      </c>
      <c r="B159" s="62" t="s">
        <v>253</v>
      </c>
      <c r="C159" s="62" t="s">
        <v>490</v>
      </c>
      <c r="D159" s="62" t="s">
        <v>539</v>
      </c>
      <c r="E159" s="63" t="s">
        <v>301</v>
      </c>
      <c r="F159" s="62" t="s">
        <v>249</v>
      </c>
      <c r="G159" s="62" t="s">
        <v>201</v>
      </c>
      <c r="H159" s="62" t="s">
        <v>12</v>
      </c>
      <c r="I159" s="62" t="s">
        <v>157</v>
      </c>
      <c r="J159" s="62"/>
      <c r="K159" s="64">
        <v>6.5</v>
      </c>
      <c r="L159" s="64">
        <f t="shared" si="18"/>
        <v>5.8627450980392162</v>
      </c>
      <c r="M159" s="65">
        <f>prodnorm77</f>
        <v>0</v>
      </c>
      <c r="N159" s="66">
        <f>dagwerk77</f>
        <v>0</v>
      </c>
      <c r="O159" s="62" t="s">
        <v>45</v>
      </c>
      <c r="P159" s="67">
        <f>uurtarief77</f>
        <v>0</v>
      </c>
      <c r="Q159" s="64" t="e">
        <f t="shared" si="22"/>
        <v>#DIV/0!</v>
      </c>
      <c r="R159" s="64" t="e">
        <f t="shared" si="23"/>
        <v>#DIV/0!</v>
      </c>
      <c r="S159" s="67" t="e">
        <f t="shared" si="19"/>
        <v>#DIV/0!</v>
      </c>
      <c r="T159" s="64" t="e">
        <f t="shared" si="20"/>
        <v>#DIV/0!</v>
      </c>
      <c r="U159" s="68" t="e">
        <f t="shared" si="21"/>
        <v>#DIV/0!</v>
      </c>
    </row>
    <row r="160" spans="1:21" x14ac:dyDescent="0.2">
      <c r="A160" s="61" t="s">
        <v>244</v>
      </c>
      <c r="B160" s="62" t="s">
        <v>253</v>
      </c>
      <c r="C160" s="62" t="s">
        <v>490</v>
      </c>
      <c r="D160" s="62" t="s">
        <v>539</v>
      </c>
      <c r="E160" s="63" t="s">
        <v>302</v>
      </c>
      <c r="F160" s="62" t="s">
        <v>249</v>
      </c>
      <c r="G160" s="62" t="s">
        <v>201</v>
      </c>
      <c r="H160" s="62" t="s">
        <v>12</v>
      </c>
      <c r="I160" s="62" t="s">
        <v>157</v>
      </c>
      <c r="J160" s="62"/>
      <c r="K160" s="64">
        <v>6.5</v>
      </c>
      <c r="L160" s="64">
        <f t="shared" si="18"/>
        <v>5.8627450980392162</v>
      </c>
      <c r="M160" s="65">
        <f>prodnorm77</f>
        <v>0</v>
      </c>
      <c r="N160" s="66">
        <f>dagwerk77</f>
        <v>0</v>
      </c>
      <c r="O160" s="62" t="s">
        <v>45</v>
      </c>
      <c r="P160" s="67">
        <f>uurtarief77</f>
        <v>0</v>
      </c>
      <c r="Q160" s="64" t="e">
        <f t="shared" si="22"/>
        <v>#DIV/0!</v>
      </c>
      <c r="R160" s="64" t="e">
        <f t="shared" si="23"/>
        <v>#DIV/0!</v>
      </c>
      <c r="S160" s="67" t="e">
        <f t="shared" si="19"/>
        <v>#DIV/0!</v>
      </c>
      <c r="T160" s="64" t="e">
        <f t="shared" si="20"/>
        <v>#DIV/0!</v>
      </c>
      <c r="U160" s="68" t="e">
        <f t="shared" si="21"/>
        <v>#DIV/0!</v>
      </c>
    </row>
    <row r="161" spans="1:21" x14ac:dyDescent="0.2">
      <c r="A161" s="61" t="s">
        <v>244</v>
      </c>
      <c r="B161" s="62" t="s">
        <v>253</v>
      </c>
      <c r="C161" s="62" t="s">
        <v>490</v>
      </c>
      <c r="D161" s="62" t="s">
        <v>540</v>
      </c>
      <c r="E161" s="63" t="s">
        <v>541</v>
      </c>
      <c r="F161" s="62" t="s">
        <v>257</v>
      </c>
      <c r="G161" s="62" t="s">
        <v>161</v>
      </c>
      <c r="H161" s="62" t="s">
        <v>17</v>
      </c>
      <c r="I161" s="62" t="s">
        <v>157</v>
      </c>
      <c r="J161" s="62"/>
      <c r="K161" s="64">
        <v>99.6</v>
      </c>
      <c r="L161" s="64">
        <f t="shared" si="18"/>
        <v>44.917647058823526</v>
      </c>
      <c r="M161" s="65">
        <f>prodnorm42</f>
        <v>0</v>
      </c>
      <c r="N161" s="66">
        <f>dagwerk42</f>
        <v>0</v>
      </c>
      <c r="O161" s="62" t="s">
        <v>45</v>
      </c>
      <c r="P161" s="67">
        <f>uurtarief42</f>
        <v>0</v>
      </c>
      <c r="Q161" s="64" t="e">
        <f t="shared" si="22"/>
        <v>#DIV/0!</v>
      </c>
      <c r="R161" s="64" t="e">
        <f t="shared" si="23"/>
        <v>#DIV/0!</v>
      </c>
      <c r="S161" s="67" t="e">
        <f t="shared" si="19"/>
        <v>#DIV/0!</v>
      </c>
      <c r="T161" s="64" t="e">
        <f t="shared" si="20"/>
        <v>#DIV/0!</v>
      </c>
      <c r="U161" s="68" t="e">
        <f t="shared" si="21"/>
        <v>#DIV/0!</v>
      </c>
    </row>
    <row r="162" spans="1:21" ht="25.5" x14ac:dyDescent="0.2">
      <c r="A162" s="61" t="s">
        <v>244</v>
      </c>
      <c r="B162" s="62" t="s">
        <v>253</v>
      </c>
      <c r="C162" s="62" t="s">
        <v>490</v>
      </c>
      <c r="D162" s="62" t="s">
        <v>542</v>
      </c>
      <c r="E162" s="63" t="s">
        <v>543</v>
      </c>
      <c r="F162" s="62" t="s">
        <v>249</v>
      </c>
      <c r="G162" s="62" t="s">
        <v>201</v>
      </c>
      <c r="H162" s="62" t="s">
        <v>12</v>
      </c>
      <c r="I162" s="62" t="s">
        <v>157</v>
      </c>
      <c r="J162" s="62"/>
      <c r="K162" s="64">
        <v>2</v>
      </c>
      <c r="L162" s="64">
        <f t="shared" si="18"/>
        <v>1.803921568627451</v>
      </c>
      <c r="M162" s="65">
        <f>prodnorm77</f>
        <v>0</v>
      </c>
      <c r="N162" s="66">
        <f>dagwerk77</f>
        <v>0</v>
      </c>
      <c r="O162" s="62" t="s">
        <v>45</v>
      </c>
      <c r="P162" s="67">
        <f>uurtarief77</f>
        <v>0</v>
      </c>
      <c r="Q162" s="64" t="e">
        <f t="shared" si="22"/>
        <v>#DIV/0!</v>
      </c>
      <c r="R162" s="64" t="e">
        <f t="shared" si="23"/>
        <v>#DIV/0!</v>
      </c>
      <c r="S162" s="67" t="e">
        <f t="shared" si="19"/>
        <v>#DIV/0!</v>
      </c>
      <c r="T162" s="64" t="e">
        <f t="shared" si="20"/>
        <v>#DIV/0!</v>
      </c>
      <c r="U162" s="68" t="e">
        <f t="shared" si="21"/>
        <v>#DIV/0!</v>
      </c>
    </row>
    <row r="163" spans="1:21" ht="25.5" x14ac:dyDescent="0.2">
      <c r="A163" s="61" t="s">
        <v>244</v>
      </c>
      <c r="B163" s="62" t="s">
        <v>253</v>
      </c>
      <c r="C163" s="62" t="s">
        <v>490</v>
      </c>
      <c r="D163" s="62" t="s">
        <v>544</v>
      </c>
      <c r="E163" s="63" t="s">
        <v>545</v>
      </c>
      <c r="F163" s="62" t="s">
        <v>249</v>
      </c>
      <c r="G163" s="62" t="s">
        <v>201</v>
      </c>
      <c r="H163" s="62" t="s">
        <v>12</v>
      </c>
      <c r="I163" s="62" t="s">
        <v>157</v>
      </c>
      <c r="J163" s="62"/>
      <c r="K163" s="64">
        <v>15</v>
      </c>
      <c r="L163" s="64">
        <f t="shared" si="18"/>
        <v>13.529411764705882</v>
      </c>
      <c r="M163" s="65">
        <f>prodnorm77</f>
        <v>0</v>
      </c>
      <c r="N163" s="66">
        <f>dagwerk77</f>
        <v>0</v>
      </c>
      <c r="O163" s="62" t="s">
        <v>45</v>
      </c>
      <c r="P163" s="67">
        <f>uurtarief77</f>
        <v>0</v>
      </c>
      <c r="Q163" s="64" t="e">
        <f t="shared" si="22"/>
        <v>#DIV/0!</v>
      </c>
      <c r="R163" s="64" t="e">
        <f t="shared" si="23"/>
        <v>#DIV/0!</v>
      </c>
      <c r="S163" s="67" t="e">
        <f t="shared" si="19"/>
        <v>#DIV/0!</v>
      </c>
      <c r="T163" s="64" t="e">
        <f t="shared" si="20"/>
        <v>#DIV/0!</v>
      </c>
      <c r="U163" s="68" t="e">
        <f t="shared" si="21"/>
        <v>#DIV/0!</v>
      </c>
    </row>
    <row r="164" spans="1:21" x14ac:dyDescent="0.2">
      <c r="A164" s="61" t="s">
        <v>244</v>
      </c>
      <c r="B164" s="62" t="s">
        <v>253</v>
      </c>
      <c r="C164" s="62" t="s">
        <v>490</v>
      </c>
      <c r="D164" s="62" t="s">
        <v>546</v>
      </c>
      <c r="E164" s="63" t="s">
        <v>547</v>
      </c>
      <c r="F164" s="62" t="s">
        <v>257</v>
      </c>
      <c r="G164" s="62" t="s">
        <v>195</v>
      </c>
      <c r="H164" s="62" t="s">
        <v>12</v>
      </c>
      <c r="I164" s="62" t="s">
        <v>157</v>
      </c>
      <c r="J164" s="62"/>
      <c r="K164" s="64">
        <v>96.2</v>
      </c>
      <c r="L164" s="64">
        <f t="shared" si="18"/>
        <v>86.768627450980389</v>
      </c>
      <c r="M164" s="65">
        <f>prodnorm74</f>
        <v>0</v>
      </c>
      <c r="N164" s="66">
        <f>dagwerk74</f>
        <v>0</v>
      </c>
      <c r="O164" s="62" t="s">
        <v>45</v>
      </c>
      <c r="P164" s="67">
        <f>uurtarief74</f>
        <v>0</v>
      </c>
      <c r="Q164" s="64" t="e">
        <f t="shared" si="22"/>
        <v>#DIV/0!</v>
      </c>
      <c r="R164" s="64" t="e">
        <f t="shared" si="23"/>
        <v>#DIV/0!</v>
      </c>
      <c r="S164" s="67" t="e">
        <f t="shared" si="19"/>
        <v>#DIV/0!</v>
      </c>
      <c r="T164" s="64" t="e">
        <f t="shared" si="20"/>
        <v>#DIV/0!</v>
      </c>
      <c r="U164" s="68" t="e">
        <f t="shared" si="21"/>
        <v>#DIV/0!</v>
      </c>
    </row>
    <row r="165" spans="1:21" x14ac:dyDescent="0.2">
      <c r="A165" s="61" t="s">
        <v>244</v>
      </c>
      <c r="B165" s="62" t="s">
        <v>253</v>
      </c>
      <c r="C165" s="62" t="s">
        <v>490</v>
      </c>
      <c r="D165" s="62" t="s">
        <v>548</v>
      </c>
      <c r="E165" s="63" t="s">
        <v>304</v>
      </c>
      <c r="F165" s="62" t="s">
        <v>257</v>
      </c>
      <c r="G165" s="62" t="s">
        <v>207</v>
      </c>
      <c r="H165" s="62" t="s">
        <v>17</v>
      </c>
      <c r="I165" s="62" t="s">
        <v>157</v>
      </c>
      <c r="J165" s="62"/>
      <c r="K165" s="64">
        <v>118.5</v>
      </c>
      <c r="L165" s="64">
        <f t="shared" si="18"/>
        <v>53.441176470588239</v>
      </c>
      <c r="M165" s="65">
        <f>prodnorm84</f>
        <v>0</v>
      </c>
      <c r="N165" s="66">
        <f>dagwerk84</f>
        <v>0</v>
      </c>
      <c r="O165" s="62" t="s">
        <v>45</v>
      </c>
      <c r="P165" s="67">
        <f>uurtarief84</f>
        <v>0</v>
      </c>
      <c r="Q165" s="64" t="e">
        <f t="shared" si="22"/>
        <v>#DIV/0!</v>
      </c>
      <c r="R165" s="64" t="e">
        <f t="shared" si="23"/>
        <v>#DIV/0!</v>
      </c>
      <c r="S165" s="67" t="e">
        <f t="shared" si="19"/>
        <v>#DIV/0!</v>
      </c>
      <c r="T165" s="64" t="e">
        <f t="shared" si="20"/>
        <v>#DIV/0!</v>
      </c>
      <c r="U165" s="68" t="e">
        <f t="shared" si="21"/>
        <v>#DIV/0!</v>
      </c>
    </row>
    <row r="166" spans="1:21" ht="25.5" x14ac:dyDescent="0.2">
      <c r="A166" s="61" t="s">
        <v>244</v>
      </c>
      <c r="B166" s="62" t="s">
        <v>253</v>
      </c>
      <c r="C166" s="62" t="s">
        <v>490</v>
      </c>
      <c r="D166" s="62" t="s">
        <v>549</v>
      </c>
      <c r="E166" s="63" t="s">
        <v>550</v>
      </c>
      <c r="F166" s="62" t="s">
        <v>257</v>
      </c>
      <c r="G166" s="62" t="s">
        <v>161</v>
      </c>
      <c r="H166" s="62" t="s">
        <v>17</v>
      </c>
      <c r="I166" s="62" t="s">
        <v>157</v>
      </c>
      <c r="J166" s="62"/>
      <c r="K166" s="64">
        <v>30.4</v>
      </c>
      <c r="L166" s="64">
        <f t="shared" si="18"/>
        <v>13.709803921568627</v>
      </c>
      <c r="M166" s="65">
        <f>prodnorm42</f>
        <v>0</v>
      </c>
      <c r="N166" s="66">
        <f>dagwerk42</f>
        <v>0</v>
      </c>
      <c r="O166" s="62" t="s">
        <v>45</v>
      </c>
      <c r="P166" s="67">
        <f>uurtarief42</f>
        <v>0</v>
      </c>
      <c r="Q166" s="64" t="e">
        <f t="shared" si="22"/>
        <v>#DIV/0!</v>
      </c>
      <c r="R166" s="64" t="e">
        <f t="shared" si="23"/>
        <v>#DIV/0!</v>
      </c>
      <c r="S166" s="67" t="e">
        <f t="shared" si="19"/>
        <v>#DIV/0!</v>
      </c>
      <c r="T166" s="64" t="e">
        <f t="shared" si="20"/>
        <v>#DIV/0!</v>
      </c>
      <c r="U166" s="68" t="e">
        <f t="shared" si="21"/>
        <v>#DIV/0!</v>
      </c>
    </row>
    <row r="167" spans="1:21" ht="25.5" x14ac:dyDescent="0.2">
      <c r="A167" s="61" t="s">
        <v>244</v>
      </c>
      <c r="B167" s="62" t="s">
        <v>253</v>
      </c>
      <c r="C167" s="62" t="s">
        <v>490</v>
      </c>
      <c r="D167" s="62" t="s">
        <v>551</v>
      </c>
      <c r="E167" s="63" t="s">
        <v>552</v>
      </c>
      <c r="F167" s="62" t="s">
        <v>257</v>
      </c>
      <c r="G167" s="62" t="s">
        <v>183</v>
      </c>
      <c r="H167" s="62" t="s">
        <v>12</v>
      </c>
      <c r="I167" s="62" t="s">
        <v>157</v>
      </c>
      <c r="J167" s="62"/>
      <c r="K167" s="64">
        <v>25.2</v>
      </c>
      <c r="L167" s="64">
        <f t="shared" si="18"/>
        <v>22.729411764705883</v>
      </c>
      <c r="M167" s="65">
        <f>prodnorm65</f>
        <v>0</v>
      </c>
      <c r="N167" s="66">
        <f>dagwerk65</f>
        <v>0</v>
      </c>
      <c r="O167" s="62" t="s">
        <v>45</v>
      </c>
      <c r="P167" s="67">
        <f>uurtarief65</f>
        <v>0</v>
      </c>
      <c r="Q167" s="64" t="e">
        <f t="shared" si="22"/>
        <v>#DIV/0!</v>
      </c>
      <c r="R167" s="64" t="e">
        <f t="shared" si="23"/>
        <v>#DIV/0!</v>
      </c>
      <c r="S167" s="67" t="e">
        <f t="shared" si="19"/>
        <v>#DIV/0!</v>
      </c>
      <c r="T167" s="64" t="e">
        <f t="shared" si="20"/>
        <v>#DIV/0!</v>
      </c>
      <c r="U167" s="68" t="e">
        <f t="shared" si="21"/>
        <v>#DIV/0!</v>
      </c>
    </row>
    <row r="168" spans="1:21" x14ac:dyDescent="0.2">
      <c r="A168" s="61" t="s">
        <v>244</v>
      </c>
      <c r="B168" s="62" t="s">
        <v>253</v>
      </c>
      <c r="C168" s="62" t="s">
        <v>490</v>
      </c>
      <c r="D168" s="62" t="s">
        <v>553</v>
      </c>
      <c r="E168" s="63" t="s">
        <v>554</v>
      </c>
      <c r="F168" s="62" t="s">
        <v>257</v>
      </c>
      <c r="G168" s="62" t="s">
        <v>161</v>
      </c>
      <c r="H168" s="62" t="s">
        <v>17</v>
      </c>
      <c r="I168" s="62" t="s">
        <v>157</v>
      </c>
      <c r="J168" s="62"/>
      <c r="K168" s="64">
        <v>18</v>
      </c>
      <c r="L168" s="64">
        <f t="shared" si="18"/>
        <v>8.117647058823529</v>
      </c>
      <c r="M168" s="65">
        <f>prodnorm42</f>
        <v>0</v>
      </c>
      <c r="N168" s="66">
        <f>dagwerk42</f>
        <v>0</v>
      </c>
      <c r="O168" s="62" t="s">
        <v>45</v>
      </c>
      <c r="P168" s="67">
        <f>uurtarief42</f>
        <v>0</v>
      </c>
      <c r="Q168" s="64" t="e">
        <f t="shared" si="22"/>
        <v>#DIV/0!</v>
      </c>
      <c r="R168" s="64" t="e">
        <f t="shared" si="23"/>
        <v>#DIV/0!</v>
      </c>
      <c r="S168" s="67" t="e">
        <f t="shared" si="19"/>
        <v>#DIV/0!</v>
      </c>
      <c r="T168" s="64" t="e">
        <f t="shared" si="20"/>
        <v>#DIV/0!</v>
      </c>
      <c r="U168" s="68" t="e">
        <f t="shared" si="21"/>
        <v>#DIV/0!</v>
      </c>
    </row>
    <row r="169" spans="1:21" x14ac:dyDescent="0.2">
      <c r="A169" s="61" t="s">
        <v>244</v>
      </c>
      <c r="B169" s="62" t="s">
        <v>253</v>
      </c>
      <c r="C169" s="62" t="s">
        <v>490</v>
      </c>
      <c r="D169" s="62" t="s">
        <v>555</v>
      </c>
      <c r="E169" s="63" t="s">
        <v>556</v>
      </c>
      <c r="F169" s="62" t="s">
        <v>257</v>
      </c>
      <c r="G169" s="62" t="s">
        <v>207</v>
      </c>
      <c r="H169" s="62" t="s">
        <v>17</v>
      </c>
      <c r="I169" s="62" t="s">
        <v>157</v>
      </c>
      <c r="J169" s="62"/>
      <c r="K169" s="64">
        <v>65</v>
      </c>
      <c r="L169" s="64">
        <f t="shared" si="18"/>
        <v>29.313725490196077</v>
      </c>
      <c r="M169" s="65">
        <f>prodnorm84</f>
        <v>0</v>
      </c>
      <c r="N169" s="66">
        <f>dagwerk84</f>
        <v>0</v>
      </c>
      <c r="O169" s="62" t="s">
        <v>45</v>
      </c>
      <c r="P169" s="67">
        <f>uurtarief84</f>
        <v>0</v>
      </c>
      <c r="Q169" s="64" t="e">
        <f t="shared" si="22"/>
        <v>#DIV/0!</v>
      </c>
      <c r="R169" s="64" t="e">
        <f t="shared" si="23"/>
        <v>#DIV/0!</v>
      </c>
      <c r="S169" s="67" t="e">
        <f t="shared" si="19"/>
        <v>#DIV/0!</v>
      </c>
      <c r="T169" s="64" t="e">
        <f t="shared" si="20"/>
        <v>#DIV/0!</v>
      </c>
      <c r="U169" s="68" t="e">
        <f t="shared" si="21"/>
        <v>#DIV/0!</v>
      </c>
    </row>
    <row r="170" spans="1:21" x14ac:dyDescent="0.2">
      <c r="A170" s="61" t="s">
        <v>244</v>
      </c>
      <c r="B170" s="62" t="s">
        <v>253</v>
      </c>
      <c r="C170" s="62" t="s">
        <v>490</v>
      </c>
      <c r="D170" s="62" t="s">
        <v>557</v>
      </c>
      <c r="E170" s="63" t="s">
        <v>558</v>
      </c>
      <c r="F170" s="62" t="s">
        <v>257</v>
      </c>
      <c r="G170" s="62" t="s">
        <v>161</v>
      </c>
      <c r="H170" s="62" t="s">
        <v>17</v>
      </c>
      <c r="I170" s="62" t="s">
        <v>157</v>
      </c>
      <c r="J170" s="62"/>
      <c r="K170" s="64">
        <v>40.1</v>
      </c>
      <c r="L170" s="64">
        <f t="shared" si="18"/>
        <v>18.084313725490198</v>
      </c>
      <c r="M170" s="65">
        <f>prodnorm42</f>
        <v>0</v>
      </c>
      <c r="N170" s="66">
        <f>dagwerk42</f>
        <v>0</v>
      </c>
      <c r="O170" s="62" t="s">
        <v>45</v>
      </c>
      <c r="P170" s="67">
        <f>uurtarief42</f>
        <v>0</v>
      </c>
      <c r="Q170" s="64" t="e">
        <f t="shared" si="22"/>
        <v>#DIV/0!</v>
      </c>
      <c r="R170" s="64" t="e">
        <f t="shared" si="23"/>
        <v>#DIV/0!</v>
      </c>
      <c r="S170" s="67" t="e">
        <f t="shared" si="19"/>
        <v>#DIV/0!</v>
      </c>
      <c r="T170" s="64" t="e">
        <f t="shared" si="20"/>
        <v>#DIV/0!</v>
      </c>
      <c r="U170" s="68" t="e">
        <f t="shared" si="21"/>
        <v>#DIV/0!</v>
      </c>
    </row>
    <row r="171" spans="1:21" x14ac:dyDescent="0.2">
      <c r="A171" s="61" t="s">
        <v>244</v>
      </c>
      <c r="B171" s="62" t="s">
        <v>253</v>
      </c>
      <c r="C171" s="62" t="s">
        <v>490</v>
      </c>
      <c r="D171" s="62" t="s">
        <v>559</v>
      </c>
      <c r="E171" s="63" t="s">
        <v>560</v>
      </c>
      <c r="F171" s="62" t="s">
        <v>561</v>
      </c>
      <c r="G171" s="62" t="s">
        <v>181</v>
      </c>
      <c r="H171" s="62" t="s">
        <v>15</v>
      </c>
      <c r="I171" s="62" t="s">
        <v>157</v>
      </c>
      <c r="J171" s="62"/>
      <c r="K171" s="64">
        <v>23.2</v>
      </c>
      <c r="L171" s="64">
        <f t="shared" si="18"/>
        <v>12.555294117647058</v>
      </c>
      <c r="M171" s="65">
        <f>prodnorm61</f>
        <v>0</v>
      </c>
      <c r="N171" s="66">
        <f>dagwerk61</f>
        <v>0</v>
      </c>
      <c r="O171" s="62" t="s">
        <v>45</v>
      </c>
      <c r="P171" s="67">
        <f>uurtarief61</f>
        <v>0</v>
      </c>
      <c r="Q171" s="64" t="e">
        <f t="shared" si="22"/>
        <v>#DIV/0!</v>
      </c>
      <c r="R171" s="64" t="e">
        <f t="shared" si="23"/>
        <v>#DIV/0!</v>
      </c>
      <c r="S171" s="67" t="e">
        <f t="shared" si="19"/>
        <v>#DIV/0!</v>
      </c>
      <c r="T171" s="64" t="e">
        <f t="shared" si="20"/>
        <v>#DIV/0!</v>
      </c>
      <c r="U171" s="68" t="e">
        <f t="shared" si="21"/>
        <v>#DIV/0!</v>
      </c>
    </row>
    <row r="172" spans="1:21" x14ac:dyDescent="0.2">
      <c r="A172" s="61" t="s">
        <v>244</v>
      </c>
      <c r="B172" s="62" t="s">
        <v>253</v>
      </c>
      <c r="C172" s="62" t="s">
        <v>490</v>
      </c>
      <c r="D172" s="62" t="s">
        <v>562</v>
      </c>
      <c r="E172" s="63" t="s">
        <v>563</v>
      </c>
      <c r="F172" s="62" t="s">
        <v>257</v>
      </c>
      <c r="G172" s="62" t="s">
        <v>161</v>
      </c>
      <c r="H172" s="62" t="s">
        <v>17</v>
      </c>
      <c r="I172" s="62" t="s">
        <v>157</v>
      </c>
      <c r="J172" s="62"/>
      <c r="K172" s="64">
        <v>17.600000000000001</v>
      </c>
      <c r="L172" s="64">
        <f t="shared" si="18"/>
        <v>7.9372549019607854</v>
      </c>
      <c r="M172" s="65">
        <f>prodnorm42</f>
        <v>0</v>
      </c>
      <c r="N172" s="66">
        <f>dagwerk42</f>
        <v>0</v>
      </c>
      <c r="O172" s="62" t="s">
        <v>45</v>
      </c>
      <c r="P172" s="67">
        <f>uurtarief42</f>
        <v>0</v>
      </c>
      <c r="Q172" s="64" t="e">
        <f t="shared" si="22"/>
        <v>#DIV/0!</v>
      </c>
      <c r="R172" s="64" t="e">
        <f t="shared" si="23"/>
        <v>#DIV/0!</v>
      </c>
      <c r="S172" s="67" t="e">
        <f t="shared" si="19"/>
        <v>#DIV/0!</v>
      </c>
      <c r="T172" s="64" t="e">
        <f t="shared" si="20"/>
        <v>#DIV/0!</v>
      </c>
      <c r="U172" s="68" t="e">
        <f t="shared" si="21"/>
        <v>#DIV/0!</v>
      </c>
    </row>
    <row r="173" spans="1:21" x14ac:dyDescent="0.2">
      <c r="A173" s="61" t="s">
        <v>244</v>
      </c>
      <c r="B173" s="62" t="s">
        <v>253</v>
      </c>
      <c r="C173" s="62" t="s">
        <v>490</v>
      </c>
      <c r="D173" s="62" t="s">
        <v>564</v>
      </c>
      <c r="E173" s="63" t="s">
        <v>565</v>
      </c>
      <c r="F173" s="62" t="s">
        <v>566</v>
      </c>
      <c r="G173" s="62" t="s">
        <v>181</v>
      </c>
      <c r="H173" s="62" t="s">
        <v>15</v>
      </c>
      <c r="I173" s="62" t="s">
        <v>157</v>
      </c>
      <c r="J173" s="62"/>
      <c r="K173" s="64">
        <v>26.5</v>
      </c>
      <c r="L173" s="64">
        <f t="shared" si="18"/>
        <v>14.341176470588234</v>
      </c>
      <c r="M173" s="65">
        <f>prodnorm61</f>
        <v>0</v>
      </c>
      <c r="N173" s="66">
        <f>dagwerk61</f>
        <v>0</v>
      </c>
      <c r="O173" s="62" t="s">
        <v>45</v>
      </c>
      <c r="P173" s="67">
        <f>uurtarief61</f>
        <v>0</v>
      </c>
      <c r="Q173" s="64" t="e">
        <f t="shared" si="22"/>
        <v>#DIV/0!</v>
      </c>
      <c r="R173" s="64" t="e">
        <f t="shared" si="23"/>
        <v>#DIV/0!</v>
      </c>
      <c r="S173" s="67" t="e">
        <f t="shared" si="19"/>
        <v>#DIV/0!</v>
      </c>
      <c r="T173" s="64" t="e">
        <f t="shared" si="20"/>
        <v>#DIV/0!</v>
      </c>
      <c r="U173" s="68" t="e">
        <f t="shared" si="21"/>
        <v>#DIV/0!</v>
      </c>
    </row>
    <row r="174" spans="1:21" x14ac:dyDescent="0.2">
      <c r="A174" s="61" t="s">
        <v>244</v>
      </c>
      <c r="B174" s="62" t="s">
        <v>253</v>
      </c>
      <c r="C174" s="62" t="s">
        <v>490</v>
      </c>
      <c r="D174" s="62" t="s">
        <v>567</v>
      </c>
      <c r="E174" s="63" t="s">
        <v>568</v>
      </c>
      <c r="F174" s="62" t="s">
        <v>257</v>
      </c>
      <c r="G174" s="62" t="s">
        <v>161</v>
      </c>
      <c r="H174" s="62" t="s">
        <v>17</v>
      </c>
      <c r="I174" s="62" t="s">
        <v>157</v>
      </c>
      <c r="J174" s="62"/>
      <c r="K174" s="64">
        <v>17</v>
      </c>
      <c r="L174" s="64">
        <f t="shared" si="18"/>
        <v>7.666666666666667</v>
      </c>
      <c r="M174" s="65">
        <f>prodnorm42</f>
        <v>0</v>
      </c>
      <c r="N174" s="66">
        <f>dagwerk42</f>
        <v>0</v>
      </c>
      <c r="O174" s="62" t="s">
        <v>45</v>
      </c>
      <c r="P174" s="67">
        <f>uurtarief42</f>
        <v>0</v>
      </c>
      <c r="Q174" s="64" t="e">
        <f t="shared" si="22"/>
        <v>#DIV/0!</v>
      </c>
      <c r="R174" s="64" t="e">
        <f t="shared" si="23"/>
        <v>#DIV/0!</v>
      </c>
      <c r="S174" s="67" t="e">
        <f t="shared" si="19"/>
        <v>#DIV/0!</v>
      </c>
      <c r="T174" s="64" t="e">
        <f t="shared" si="20"/>
        <v>#DIV/0!</v>
      </c>
      <c r="U174" s="68" t="e">
        <f t="shared" si="21"/>
        <v>#DIV/0!</v>
      </c>
    </row>
    <row r="175" spans="1:21" x14ac:dyDescent="0.2">
      <c r="A175" s="61" t="s">
        <v>244</v>
      </c>
      <c r="B175" s="62" t="s">
        <v>253</v>
      </c>
      <c r="C175" s="62" t="s">
        <v>490</v>
      </c>
      <c r="D175" s="62" t="s">
        <v>569</v>
      </c>
      <c r="E175" s="63" t="s">
        <v>570</v>
      </c>
      <c r="F175" s="62" t="s">
        <v>257</v>
      </c>
      <c r="G175" s="62" t="s">
        <v>181</v>
      </c>
      <c r="H175" s="62" t="s">
        <v>15</v>
      </c>
      <c r="I175" s="62" t="s">
        <v>157</v>
      </c>
      <c r="J175" s="62"/>
      <c r="K175" s="64">
        <v>12.5</v>
      </c>
      <c r="L175" s="64">
        <f t="shared" si="18"/>
        <v>6.7647058823529411</v>
      </c>
      <c r="M175" s="65">
        <f>prodnorm61</f>
        <v>0</v>
      </c>
      <c r="N175" s="66">
        <f>dagwerk61</f>
        <v>0</v>
      </c>
      <c r="O175" s="62" t="s">
        <v>45</v>
      </c>
      <c r="P175" s="67">
        <f>uurtarief61</f>
        <v>0</v>
      </c>
      <c r="Q175" s="64" t="e">
        <f t="shared" si="22"/>
        <v>#DIV/0!</v>
      </c>
      <c r="R175" s="64" t="e">
        <f t="shared" si="23"/>
        <v>#DIV/0!</v>
      </c>
      <c r="S175" s="67" t="e">
        <f t="shared" si="19"/>
        <v>#DIV/0!</v>
      </c>
      <c r="T175" s="64" t="e">
        <f t="shared" si="20"/>
        <v>#DIV/0!</v>
      </c>
      <c r="U175" s="68" t="e">
        <f t="shared" si="21"/>
        <v>#DIV/0!</v>
      </c>
    </row>
    <row r="176" spans="1:21" x14ac:dyDescent="0.2">
      <c r="A176" s="61" t="s">
        <v>244</v>
      </c>
      <c r="B176" s="62" t="s">
        <v>253</v>
      </c>
      <c r="C176" s="62" t="s">
        <v>490</v>
      </c>
      <c r="D176" s="62" t="s">
        <v>571</v>
      </c>
      <c r="E176" s="63" t="s">
        <v>572</v>
      </c>
      <c r="F176" s="62" t="s">
        <v>257</v>
      </c>
      <c r="G176" s="62" t="s">
        <v>181</v>
      </c>
      <c r="H176" s="62" t="s">
        <v>15</v>
      </c>
      <c r="I176" s="62" t="s">
        <v>157</v>
      </c>
      <c r="J176" s="62"/>
      <c r="K176" s="64">
        <v>13.48</v>
      </c>
      <c r="L176" s="64">
        <f t="shared" si="18"/>
        <v>7.2950588235294118</v>
      </c>
      <c r="M176" s="65">
        <f>prodnorm61</f>
        <v>0</v>
      </c>
      <c r="N176" s="66">
        <f>dagwerk61</f>
        <v>0</v>
      </c>
      <c r="O176" s="62" t="s">
        <v>45</v>
      </c>
      <c r="P176" s="67">
        <f>uurtarief61</f>
        <v>0</v>
      </c>
      <c r="Q176" s="64" t="e">
        <f t="shared" si="22"/>
        <v>#DIV/0!</v>
      </c>
      <c r="R176" s="64" t="e">
        <f t="shared" si="23"/>
        <v>#DIV/0!</v>
      </c>
      <c r="S176" s="67" t="e">
        <f t="shared" si="19"/>
        <v>#DIV/0!</v>
      </c>
      <c r="T176" s="64" t="e">
        <f t="shared" si="20"/>
        <v>#DIV/0!</v>
      </c>
      <c r="U176" s="68" t="e">
        <f t="shared" si="21"/>
        <v>#DIV/0!</v>
      </c>
    </row>
    <row r="177" spans="1:21" x14ac:dyDescent="0.2">
      <c r="A177" s="61" t="s">
        <v>244</v>
      </c>
      <c r="B177" s="62" t="s">
        <v>253</v>
      </c>
      <c r="C177" s="62" t="s">
        <v>490</v>
      </c>
      <c r="D177" s="62" t="s">
        <v>573</v>
      </c>
      <c r="E177" s="63" t="s">
        <v>574</v>
      </c>
      <c r="F177" s="62" t="s">
        <v>257</v>
      </c>
      <c r="G177" s="62" t="s">
        <v>161</v>
      </c>
      <c r="H177" s="62" t="s">
        <v>17</v>
      </c>
      <c r="I177" s="62" t="s">
        <v>157</v>
      </c>
      <c r="J177" s="62"/>
      <c r="K177" s="64">
        <v>16</v>
      </c>
      <c r="L177" s="64">
        <f t="shared" si="18"/>
        <v>7.215686274509804</v>
      </c>
      <c r="M177" s="65">
        <f>prodnorm42</f>
        <v>0</v>
      </c>
      <c r="N177" s="66">
        <f>dagwerk42</f>
        <v>0</v>
      </c>
      <c r="O177" s="62" t="s">
        <v>45</v>
      </c>
      <c r="P177" s="67">
        <f>uurtarief42</f>
        <v>0</v>
      </c>
      <c r="Q177" s="64" t="e">
        <f t="shared" si="22"/>
        <v>#DIV/0!</v>
      </c>
      <c r="R177" s="64" t="e">
        <f t="shared" si="23"/>
        <v>#DIV/0!</v>
      </c>
      <c r="S177" s="67" t="e">
        <f t="shared" si="19"/>
        <v>#DIV/0!</v>
      </c>
      <c r="T177" s="64" t="e">
        <f t="shared" si="20"/>
        <v>#DIV/0!</v>
      </c>
      <c r="U177" s="68" t="e">
        <f t="shared" si="21"/>
        <v>#DIV/0!</v>
      </c>
    </row>
    <row r="178" spans="1:21" x14ac:dyDescent="0.2">
      <c r="A178" s="61" t="s">
        <v>244</v>
      </c>
      <c r="B178" s="62" t="s">
        <v>253</v>
      </c>
      <c r="C178" s="62" t="s">
        <v>490</v>
      </c>
      <c r="D178" s="62" t="s">
        <v>575</v>
      </c>
      <c r="E178" s="63" t="s">
        <v>576</v>
      </c>
      <c r="F178" s="62" t="s">
        <v>566</v>
      </c>
      <c r="G178" s="62" t="s">
        <v>181</v>
      </c>
      <c r="H178" s="62" t="s">
        <v>15</v>
      </c>
      <c r="I178" s="62" t="s">
        <v>157</v>
      </c>
      <c r="J178" s="62"/>
      <c r="K178" s="64">
        <v>17.399999999999999</v>
      </c>
      <c r="L178" s="64">
        <f t="shared" si="18"/>
        <v>9.4164705882352919</v>
      </c>
      <c r="M178" s="65">
        <f>prodnorm61</f>
        <v>0</v>
      </c>
      <c r="N178" s="66">
        <f>dagwerk61</f>
        <v>0</v>
      </c>
      <c r="O178" s="62" t="s">
        <v>45</v>
      </c>
      <c r="P178" s="67">
        <f>uurtarief61</f>
        <v>0</v>
      </c>
      <c r="Q178" s="64" t="e">
        <f t="shared" si="22"/>
        <v>#DIV/0!</v>
      </c>
      <c r="R178" s="64" t="e">
        <f t="shared" si="23"/>
        <v>#DIV/0!</v>
      </c>
      <c r="S178" s="67" t="e">
        <f t="shared" si="19"/>
        <v>#DIV/0!</v>
      </c>
      <c r="T178" s="64" t="e">
        <f t="shared" si="20"/>
        <v>#DIV/0!</v>
      </c>
      <c r="U178" s="68" t="e">
        <f t="shared" si="21"/>
        <v>#DIV/0!</v>
      </c>
    </row>
    <row r="179" spans="1:21" ht="25.5" x14ac:dyDescent="0.2">
      <c r="A179" s="61" t="s">
        <v>244</v>
      </c>
      <c r="B179" s="62" t="s">
        <v>253</v>
      </c>
      <c r="C179" s="62" t="s">
        <v>490</v>
      </c>
      <c r="D179" s="62" t="s">
        <v>577</v>
      </c>
      <c r="E179" s="63" t="s">
        <v>578</v>
      </c>
      <c r="F179" s="62" t="s">
        <v>257</v>
      </c>
      <c r="G179" s="62" t="s">
        <v>161</v>
      </c>
      <c r="H179" s="62" t="s">
        <v>17</v>
      </c>
      <c r="I179" s="62" t="s">
        <v>157</v>
      </c>
      <c r="J179" s="62"/>
      <c r="K179" s="64">
        <v>106.7</v>
      </c>
      <c r="L179" s="64">
        <f t="shared" si="18"/>
        <v>48.11960784313726</v>
      </c>
      <c r="M179" s="65">
        <f>prodnorm42</f>
        <v>0</v>
      </c>
      <c r="N179" s="66">
        <f>dagwerk42</f>
        <v>0</v>
      </c>
      <c r="O179" s="62" t="s">
        <v>45</v>
      </c>
      <c r="P179" s="67">
        <f>uurtarief42</f>
        <v>0</v>
      </c>
      <c r="Q179" s="64" t="e">
        <f t="shared" si="22"/>
        <v>#DIV/0!</v>
      </c>
      <c r="R179" s="64" t="e">
        <f t="shared" si="23"/>
        <v>#DIV/0!</v>
      </c>
      <c r="S179" s="67" t="e">
        <f t="shared" si="19"/>
        <v>#DIV/0!</v>
      </c>
      <c r="T179" s="64" t="e">
        <f t="shared" si="20"/>
        <v>#DIV/0!</v>
      </c>
      <c r="U179" s="68" t="e">
        <f t="shared" si="21"/>
        <v>#DIV/0!</v>
      </c>
    </row>
    <row r="180" spans="1:21" x14ac:dyDescent="0.2">
      <c r="A180" s="61" t="s">
        <v>244</v>
      </c>
      <c r="B180" s="62" t="s">
        <v>253</v>
      </c>
      <c r="C180" s="62" t="s">
        <v>490</v>
      </c>
      <c r="D180" s="62" t="s">
        <v>579</v>
      </c>
      <c r="E180" s="63" t="s">
        <v>580</v>
      </c>
      <c r="F180" s="62" t="s">
        <v>566</v>
      </c>
      <c r="G180" s="62" t="s">
        <v>181</v>
      </c>
      <c r="H180" s="62" t="s">
        <v>15</v>
      </c>
      <c r="I180" s="62" t="s">
        <v>157</v>
      </c>
      <c r="J180" s="62"/>
      <c r="K180" s="64">
        <v>19.899999999999999</v>
      </c>
      <c r="L180" s="64">
        <f t="shared" si="18"/>
        <v>10.769411764705881</v>
      </c>
      <c r="M180" s="65">
        <f>prodnorm61</f>
        <v>0</v>
      </c>
      <c r="N180" s="66">
        <f>dagwerk61</f>
        <v>0</v>
      </c>
      <c r="O180" s="62" t="s">
        <v>45</v>
      </c>
      <c r="P180" s="67">
        <f>uurtarief61</f>
        <v>0</v>
      </c>
      <c r="Q180" s="64" t="e">
        <f t="shared" si="22"/>
        <v>#DIV/0!</v>
      </c>
      <c r="R180" s="64" t="e">
        <f t="shared" si="23"/>
        <v>#DIV/0!</v>
      </c>
      <c r="S180" s="67" t="e">
        <f t="shared" si="19"/>
        <v>#DIV/0!</v>
      </c>
      <c r="T180" s="64" t="e">
        <f t="shared" si="20"/>
        <v>#DIV/0!</v>
      </c>
      <c r="U180" s="68" t="e">
        <f t="shared" si="21"/>
        <v>#DIV/0!</v>
      </c>
    </row>
    <row r="181" spans="1:21" x14ac:dyDescent="0.2">
      <c r="A181" s="61" t="s">
        <v>244</v>
      </c>
      <c r="B181" s="62" t="s">
        <v>253</v>
      </c>
      <c r="C181" s="62" t="s">
        <v>490</v>
      </c>
      <c r="D181" s="62" t="s">
        <v>581</v>
      </c>
      <c r="E181" s="63" t="s">
        <v>582</v>
      </c>
      <c r="F181" s="62" t="s">
        <v>257</v>
      </c>
      <c r="G181" s="62" t="s">
        <v>207</v>
      </c>
      <c r="H181" s="62" t="s">
        <v>17</v>
      </c>
      <c r="I181" s="62" t="s">
        <v>157</v>
      </c>
      <c r="J181" s="62"/>
      <c r="K181" s="64">
        <v>15.6</v>
      </c>
      <c r="L181" s="64">
        <f t="shared" si="18"/>
        <v>7.0352941176470587</v>
      </c>
      <c r="M181" s="65">
        <f>prodnorm84</f>
        <v>0</v>
      </c>
      <c r="N181" s="66">
        <f>dagwerk84</f>
        <v>0</v>
      </c>
      <c r="O181" s="62" t="s">
        <v>45</v>
      </c>
      <c r="P181" s="67">
        <f>uurtarief84</f>
        <v>0</v>
      </c>
      <c r="Q181" s="64" t="e">
        <f t="shared" si="22"/>
        <v>#DIV/0!</v>
      </c>
      <c r="R181" s="64" t="e">
        <f t="shared" si="23"/>
        <v>#DIV/0!</v>
      </c>
      <c r="S181" s="67" t="e">
        <f t="shared" si="19"/>
        <v>#DIV/0!</v>
      </c>
      <c r="T181" s="64" t="e">
        <f t="shared" si="20"/>
        <v>#DIV/0!</v>
      </c>
      <c r="U181" s="68" t="e">
        <f t="shared" si="21"/>
        <v>#DIV/0!</v>
      </c>
    </row>
    <row r="182" spans="1:21" x14ac:dyDescent="0.2">
      <c r="A182" s="61" t="s">
        <v>244</v>
      </c>
      <c r="B182" s="62" t="s">
        <v>253</v>
      </c>
      <c r="C182" s="62" t="s">
        <v>490</v>
      </c>
      <c r="D182" s="62" t="s">
        <v>583</v>
      </c>
      <c r="E182" s="63" t="s">
        <v>326</v>
      </c>
      <c r="F182" s="62" t="s">
        <v>257</v>
      </c>
      <c r="G182" s="62" t="s">
        <v>205</v>
      </c>
      <c r="H182" s="62" t="s">
        <v>23</v>
      </c>
      <c r="I182" s="62" t="s">
        <v>157</v>
      </c>
      <c r="J182" s="62"/>
      <c r="K182" s="64">
        <v>15</v>
      </c>
      <c r="L182" s="64">
        <f t="shared" si="18"/>
        <v>2.7058823529411766</v>
      </c>
      <c r="M182" s="65">
        <f>prodnorm82</f>
        <v>0</v>
      </c>
      <c r="N182" s="66">
        <f>dagwerk82</f>
        <v>0</v>
      </c>
      <c r="O182" s="62" t="s">
        <v>45</v>
      </c>
      <c r="P182" s="67">
        <f>uurtarief82</f>
        <v>0</v>
      </c>
      <c r="Q182" s="64" t="e">
        <f t="shared" si="22"/>
        <v>#DIV/0!</v>
      </c>
      <c r="R182" s="64" t="e">
        <f t="shared" si="23"/>
        <v>#DIV/0!</v>
      </c>
      <c r="S182" s="67" t="e">
        <f t="shared" si="19"/>
        <v>#DIV/0!</v>
      </c>
      <c r="T182" s="64" t="e">
        <f t="shared" si="20"/>
        <v>#DIV/0!</v>
      </c>
      <c r="U182" s="68" t="e">
        <f t="shared" si="21"/>
        <v>#DIV/0!</v>
      </c>
    </row>
    <row r="183" spans="1:21" x14ac:dyDescent="0.2">
      <c r="A183" s="61" t="s">
        <v>244</v>
      </c>
      <c r="B183" s="62" t="s">
        <v>253</v>
      </c>
      <c r="C183" s="62" t="s">
        <v>490</v>
      </c>
      <c r="D183" s="62" t="s">
        <v>584</v>
      </c>
      <c r="E183" s="63" t="s">
        <v>328</v>
      </c>
      <c r="F183" s="62" t="s">
        <v>286</v>
      </c>
      <c r="G183" s="62" t="s">
        <v>205</v>
      </c>
      <c r="H183" s="62" t="s">
        <v>22</v>
      </c>
      <c r="I183" s="62" t="s">
        <v>157</v>
      </c>
      <c r="J183" s="62"/>
      <c r="K183" s="64">
        <v>15</v>
      </c>
      <c r="L183" s="64">
        <f t="shared" si="18"/>
        <v>3</v>
      </c>
      <c r="M183" s="65">
        <f>prodnorm83</f>
        <v>0</v>
      </c>
      <c r="N183" s="66">
        <f>dagwerk83</f>
        <v>0</v>
      </c>
      <c r="O183" s="62" t="s">
        <v>45</v>
      </c>
      <c r="P183" s="67">
        <f>uurtarief83</f>
        <v>0</v>
      </c>
      <c r="Q183" s="64" t="e">
        <f t="shared" si="22"/>
        <v>#DIV/0!</v>
      </c>
      <c r="R183" s="64" t="e">
        <f t="shared" si="23"/>
        <v>#DIV/0!</v>
      </c>
      <c r="S183" s="67" t="e">
        <f t="shared" si="19"/>
        <v>#DIV/0!</v>
      </c>
      <c r="T183" s="64" t="e">
        <f t="shared" si="20"/>
        <v>#DIV/0!</v>
      </c>
      <c r="U183" s="68" t="e">
        <f t="shared" si="21"/>
        <v>#DIV/0!</v>
      </c>
    </row>
    <row r="184" spans="1:21" x14ac:dyDescent="0.2">
      <c r="A184" s="61" t="s">
        <v>244</v>
      </c>
      <c r="B184" s="62" t="s">
        <v>253</v>
      </c>
      <c r="C184" s="62" t="s">
        <v>490</v>
      </c>
      <c r="D184" s="62" t="s">
        <v>585</v>
      </c>
      <c r="E184" s="63" t="s">
        <v>330</v>
      </c>
      <c r="F184" s="62" t="s">
        <v>286</v>
      </c>
      <c r="G184" s="62" t="s">
        <v>205</v>
      </c>
      <c r="H184" s="62" t="s">
        <v>22</v>
      </c>
      <c r="I184" s="62" t="s">
        <v>157</v>
      </c>
      <c r="J184" s="62"/>
      <c r="K184" s="64">
        <v>15</v>
      </c>
      <c r="L184" s="64">
        <f t="shared" si="18"/>
        <v>3</v>
      </c>
      <c r="M184" s="65">
        <f>prodnorm83</f>
        <v>0</v>
      </c>
      <c r="N184" s="66">
        <f>dagwerk83</f>
        <v>0</v>
      </c>
      <c r="O184" s="62" t="s">
        <v>45</v>
      </c>
      <c r="P184" s="67">
        <f>uurtarief83</f>
        <v>0</v>
      </c>
      <c r="Q184" s="64" t="e">
        <f t="shared" si="22"/>
        <v>#DIV/0!</v>
      </c>
      <c r="R184" s="64" t="e">
        <f t="shared" si="23"/>
        <v>#DIV/0!</v>
      </c>
      <c r="S184" s="67" t="e">
        <f t="shared" si="19"/>
        <v>#DIV/0!</v>
      </c>
      <c r="T184" s="64" t="e">
        <f t="shared" si="20"/>
        <v>#DIV/0!</v>
      </c>
      <c r="U184" s="68" t="e">
        <f t="shared" si="21"/>
        <v>#DIV/0!</v>
      </c>
    </row>
    <row r="185" spans="1:21" x14ac:dyDescent="0.2">
      <c r="A185" s="61" t="s">
        <v>244</v>
      </c>
      <c r="B185" s="62" t="s">
        <v>253</v>
      </c>
      <c r="C185" s="62" t="s">
        <v>490</v>
      </c>
      <c r="D185" s="62" t="s">
        <v>586</v>
      </c>
      <c r="E185" s="63" t="s">
        <v>587</v>
      </c>
      <c r="F185" s="62" t="s">
        <v>257</v>
      </c>
      <c r="G185" s="62" t="s">
        <v>207</v>
      </c>
      <c r="H185" s="62" t="s">
        <v>17</v>
      </c>
      <c r="I185" s="62" t="s">
        <v>157</v>
      </c>
      <c r="J185" s="62"/>
      <c r="K185" s="64">
        <v>30</v>
      </c>
      <c r="L185" s="64">
        <f t="shared" si="18"/>
        <v>13.529411764705882</v>
      </c>
      <c r="M185" s="65">
        <f>prodnorm84</f>
        <v>0</v>
      </c>
      <c r="N185" s="66">
        <f>dagwerk84</f>
        <v>0</v>
      </c>
      <c r="O185" s="62" t="s">
        <v>45</v>
      </c>
      <c r="P185" s="67">
        <f>uurtarief84</f>
        <v>0</v>
      </c>
      <c r="Q185" s="64" t="e">
        <f t="shared" si="22"/>
        <v>#DIV/0!</v>
      </c>
      <c r="R185" s="64" t="e">
        <f t="shared" si="23"/>
        <v>#DIV/0!</v>
      </c>
      <c r="S185" s="67" t="e">
        <f t="shared" si="19"/>
        <v>#DIV/0!</v>
      </c>
      <c r="T185" s="64" t="e">
        <f t="shared" si="20"/>
        <v>#DIV/0!</v>
      </c>
      <c r="U185" s="68" t="e">
        <f t="shared" si="21"/>
        <v>#DIV/0!</v>
      </c>
    </row>
    <row r="186" spans="1:21" x14ac:dyDescent="0.2">
      <c r="A186" s="61" t="s">
        <v>244</v>
      </c>
      <c r="B186" s="62" t="s">
        <v>253</v>
      </c>
      <c r="C186" s="62" t="s">
        <v>490</v>
      </c>
      <c r="D186" s="62" t="s">
        <v>588</v>
      </c>
      <c r="E186" s="63" t="s">
        <v>589</v>
      </c>
      <c r="F186" s="62" t="s">
        <v>286</v>
      </c>
      <c r="G186" s="62" t="s">
        <v>161</v>
      </c>
      <c r="H186" s="62" t="s">
        <v>22</v>
      </c>
      <c r="I186" s="62" t="s">
        <v>157</v>
      </c>
      <c r="J186" s="62"/>
      <c r="K186" s="64">
        <v>16.3</v>
      </c>
      <c r="L186" s="64">
        <f t="shared" si="18"/>
        <v>3.2600000000000002</v>
      </c>
      <c r="M186" s="65">
        <f>prodnorm47</f>
        <v>0</v>
      </c>
      <c r="N186" s="66">
        <f>dagwerk47</f>
        <v>0</v>
      </c>
      <c r="O186" s="62" t="s">
        <v>45</v>
      </c>
      <c r="P186" s="67">
        <f>uurtarief47</f>
        <v>0</v>
      </c>
      <c r="Q186" s="64" t="e">
        <f t="shared" si="22"/>
        <v>#DIV/0!</v>
      </c>
      <c r="R186" s="64" t="e">
        <f t="shared" si="23"/>
        <v>#DIV/0!</v>
      </c>
      <c r="S186" s="67" t="e">
        <f t="shared" si="19"/>
        <v>#DIV/0!</v>
      </c>
      <c r="T186" s="64" t="e">
        <f t="shared" si="20"/>
        <v>#DIV/0!</v>
      </c>
      <c r="U186" s="68" t="e">
        <f t="shared" si="21"/>
        <v>#DIV/0!</v>
      </c>
    </row>
    <row r="187" spans="1:21" ht="25.5" x14ac:dyDescent="0.2">
      <c r="A187" s="61" t="s">
        <v>244</v>
      </c>
      <c r="B187" s="62" t="s">
        <v>253</v>
      </c>
      <c r="C187" s="62" t="s">
        <v>490</v>
      </c>
      <c r="D187" s="62" t="s">
        <v>590</v>
      </c>
      <c r="E187" s="63" t="s">
        <v>591</v>
      </c>
      <c r="F187" s="62" t="s">
        <v>286</v>
      </c>
      <c r="G187" s="62" t="s">
        <v>161</v>
      </c>
      <c r="H187" s="62" t="s">
        <v>22</v>
      </c>
      <c r="I187" s="62" t="s">
        <v>157</v>
      </c>
      <c r="J187" s="62"/>
      <c r="K187" s="64">
        <v>22.6</v>
      </c>
      <c r="L187" s="64">
        <f t="shared" si="18"/>
        <v>4.5200000000000005</v>
      </c>
      <c r="M187" s="65">
        <f>prodnorm47</f>
        <v>0</v>
      </c>
      <c r="N187" s="66">
        <f>dagwerk47</f>
        <v>0</v>
      </c>
      <c r="O187" s="62" t="s">
        <v>45</v>
      </c>
      <c r="P187" s="67">
        <f>uurtarief47</f>
        <v>0</v>
      </c>
      <c r="Q187" s="64" t="e">
        <f t="shared" si="22"/>
        <v>#DIV/0!</v>
      </c>
      <c r="R187" s="64" t="e">
        <f t="shared" si="23"/>
        <v>#DIV/0!</v>
      </c>
      <c r="S187" s="67" t="e">
        <f t="shared" si="19"/>
        <v>#DIV/0!</v>
      </c>
      <c r="T187" s="64" t="e">
        <f t="shared" si="20"/>
        <v>#DIV/0!</v>
      </c>
      <c r="U187" s="68" t="e">
        <f t="shared" si="21"/>
        <v>#DIV/0!</v>
      </c>
    </row>
    <row r="188" spans="1:21" x14ac:dyDescent="0.2">
      <c r="A188" s="61" t="s">
        <v>244</v>
      </c>
      <c r="B188" s="62" t="s">
        <v>253</v>
      </c>
      <c r="C188" s="62" t="s">
        <v>490</v>
      </c>
      <c r="D188" s="62" t="s">
        <v>592</v>
      </c>
      <c r="E188" s="63" t="s">
        <v>593</v>
      </c>
      <c r="F188" s="62" t="s">
        <v>594</v>
      </c>
      <c r="G188" s="62" t="s">
        <v>193</v>
      </c>
      <c r="H188" s="62" t="s">
        <v>11</v>
      </c>
      <c r="I188" s="62" t="s">
        <v>157</v>
      </c>
      <c r="J188" s="62"/>
      <c r="K188" s="64">
        <v>18.8</v>
      </c>
      <c r="L188" s="64">
        <f t="shared" si="18"/>
        <v>18.8</v>
      </c>
      <c r="M188" s="65">
        <f>prodnorm73</f>
        <v>0</v>
      </c>
      <c r="N188" s="66">
        <f>dagwerk73</f>
        <v>0</v>
      </c>
      <c r="O188" s="62" t="s">
        <v>45</v>
      </c>
      <c r="P188" s="67">
        <f>uurtarief73</f>
        <v>0</v>
      </c>
      <c r="Q188" s="64" t="e">
        <f t="shared" si="22"/>
        <v>#DIV/0!</v>
      </c>
      <c r="R188" s="64" t="e">
        <f t="shared" si="23"/>
        <v>#DIV/0!</v>
      </c>
      <c r="S188" s="67" t="e">
        <f t="shared" si="19"/>
        <v>#DIV/0!</v>
      </c>
      <c r="T188" s="64" t="e">
        <f t="shared" si="20"/>
        <v>#DIV/0!</v>
      </c>
      <c r="U188" s="68" t="e">
        <f t="shared" si="21"/>
        <v>#DIV/0!</v>
      </c>
    </row>
    <row r="189" spans="1:21" x14ac:dyDescent="0.2">
      <c r="A189" s="61" t="s">
        <v>244</v>
      </c>
      <c r="B189" s="62" t="s">
        <v>253</v>
      </c>
      <c r="C189" s="62" t="s">
        <v>490</v>
      </c>
      <c r="D189" s="62" t="s">
        <v>595</v>
      </c>
      <c r="E189" s="63" t="s">
        <v>360</v>
      </c>
      <c r="F189" s="62" t="s">
        <v>257</v>
      </c>
      <c r="G189" s="62" t="s">
        <v>207</v>
      </c>
      <c r="H189" s="62" t="s">
        <v>17</v>
      </c>
      <c r="I189" s="62" t="s">
        <v>157</v>
      </c>
      <c r="J189" s="62"/>
      <c r="K189" s="64">
        <v>21</v>
      </c>
      <c r="L189" s="64">
        <f t="shared" si="18"/>
        <v>9.4705882352941178</v>
      </c>
      <c r="M189" s="65">
        <f>prodnorm84</f>
        <v>0</v>
      </c>
      <c r="N189" s="66">
        <f>dagwerk84</f>
        <v>0</v>
      </c>
      <c r="O189" s="62" t="s">
        <v>45</v>
      </c>
      <c r="P189" s="67">
        <f>uurtarief84</f>
        <v>0</v>
      </c>
      <c r="Q189" s="64" t="e">
        <f t="shared" si="22"/>
        <v>#DIV/0!</v>
      </c>
      <c r="R189" s="64" t="e">
        <f t="shared" si="23"/>
        <v>#DIV/0!</v>
      </c>
      <c r="S189" s="67" t="e">
        <f t="shared" si="19"/>
        <v>#DIV/0!</v>
      </c>
      <c r="T189" s="64" t="e">
        <f t="shared" si="20"/>
        <v>#DIV/0!</v>
      </c>
      <c r="U189" s="68" t="e">
        <f t="shared" si="21"/>
        <v>#DIV/0!</v>
      </c>
    </row>
    <row r="190" spans="1:21" ht="25.5" x14ac:dyDescent="0.2">
      <c r="A190" s="61" t="s">
        <v>244</v>
      </c>
      <c r="B190" s="62" t="s">
        <v>253</v>
      </c>
      <c r="C190" s="62" t="s">
        <v>490</v>
      </c>
      <c r="D190" s="62" t="s">
        <v>596</v>
      </c>
      <c r="E190" s="63" t="s">
        <v>597</v>
      </c>
      <c r="F190" s="62" t="s">
        <v>257</v>
      </c>
      <c r="G190" s="62" t="s">
        <v>205</v>
      </c>
      <c r="H190" s="62" t="s">
        <v>22</v>
      </c>
      <c r="I190" s="62" t="s">
        <v>157</v>
      </c>
      <c r="J190" s="62"/>
      <c r="K190" s="64">
        <v>19</v>
      </c>
      <c r="L190" s="64">
        <f t="shared" si="18"/>
        <v>3.8000000000000003</v>
      </c>
      <c r="M190" s="65">
        <f>prodnorm83</f>
        <v>0</v>
      </c>
      <c r="N190" s="66">
        <f>dagwerk83</f>
        <v>0</v>
      </c>
      <c r="O190" s="62" t="s">
        <v>45</v>
      </c>
      <c r="P190" s="67">
        <f>uurtarief83</f>
        <v>0</v>
      </c>
      <c r="Q190" s="64" t="e">
        <f t="shared" si="22"/>
        <v>#DIV/0!</v>
      </c>
      <c r="R190" s="64" t="e">
        <f t="shared" si="23"/>
        <v>#DIV/0!</v>
      </c>
      <c r="S190" s="67" t="e">
        <f t="shared" si="19"/>
        <v>#DIV/0!</v>
      </c>
      <c r="T190" s="64" t="e">
        <f t="shared" si="20"/>
        <v>#DIV/0!</v>
      </c>
      <c r="U190" s="68" t="e">
        <f t="shared" si="21"/>
        <v>#DIV/0!</v>
      </c>
    </row>
    <row r="191" spans="1:21" x14ac:dyDescent="0.2">
      <c r="A191" s="61" t="s">
        <v>244</v>
      </c>
      <c r="B191" s="62" t="s">
        <v>253</v>
      </c>
      <c r="C191" s="62" t="s">
        <v>490</v>
      </c>
      <c r="D191" s="62" t="s">
        <v>598</v>
      </c>
      <c r="E191" s="63" t="s">
        <v>599</v>
      </c>
      <c r="F191" s="62" t="s">
        <v>286</v>
      </c>
      <c r="G191" s="62" t="s">
        <v>205</v>
      </c>
      <c r="H191" s="62" t="s">
        <v>22</v>
      </c>
      <c r="I191" s="62" t="s">
        <v>157</v>
      </c>
      <c r="J191" s="62"/>
      <c r="K191" s="64">
        <v>15</v>
      </c>
      <c r="L191" s="64">
        <f t="shared" si="18"/>
        <v>3</v>
      </c>
      <c r="M191" s="65">
        <f>prodnorm83</f>
        <v>0</v>
      </c>
      <c r="N191" s="66">
        <f>dagwerk83</f>
        <v>0</v>
      </c>
      <c r="O191" s="62" t="s">
        <v>45</v>
      </c>
      <c r="P191" s="67">
        <f>uurtarief83</f>
        <v>0</v>
      </c>
      <c r="Q191" s="64" t="e">
        <f t="shared" si="22"/>
        <v>#DIV/0!</v>
      </c>
      <c r="R191" s="64" t="e">
        <f t="shared" si="23"/>
        <v>#DIV/0!</v>
      </c>
      <c r="S191" s="67" t="e">
        <f t="shared" si="19"/>
        <v>#DIV/0!</v>
      </c>
      <c r="T191" s="64" t="e">
        <f t="shared" si="20"/>
        <v>#DIV/0!</v>
      </c>
      <c r="U191" s="68" t="e">
        <f t="shared" si="21"/>
        <v>#DIV/0!</v>
      </c>
    </row>
    <row r="192" spans="1:21" x14ac:dyDescent="0.2">
      <c r="A192" s="61" t="s">
        <v>244</v>
      </c>
      <c r="B192" s="62" t="s">
        <v>253</v>
      </c>
      <c r="C192" s="62" t="s">
        <v>246</v>
      </c>
      <c r="D192" s="62" t="s">
        <v>600</v>
      </c>
      <c r="E192" s="63" t="s">
        <v>601</v>
      </c>
      <c r="F192" s="62" t="s">
        <v>249</v>
      </c>
      <c r="G192" s="62" t="s">
        <v>169</v>
      </c>
      <c r="H192" s="62" t="s">
        <v>12</v>
      </c>
      <c r="I192" s="62" t="s">
        <v>157</v>
      </c>
      <c r="J192" s="62"/>
      <c r="K192" s="64">
        <v>24.5</v>
      </c>
      <c r="L192" s="64">
        <f t="shared" si="18"/>
        <v>22.098039215686274</v>
      </c>
      <c r="M192" s="65">
        <f>prodnorm54</f>
        <v>0</v>
      </c>
      <c r="N192" s="66">
        <f>dagwerk54</f>
        <v>0</v>
      </c>
      <c r="O192" s="62" t="s">
        <v>45</v>
      </c>
      <c r="P192" s="67">
        <f>uurtarief54</f>
        <v>0</v>
      </c>
      <c r="Q192" s="64" t="e">
        <f t="shared" si="22"/>
        <v>#DIV/0!</v>
      </c>
      <c r="R192" s="64" t="e">
        <f t="shared" si="23"/>
        <v>#DIV/0!</v>
      </c>
      <c r="S192" s="67" t="e">
        <f t="shared" si="19"/>
        <v>#DIV/0!</v>
      </c>
      <c r="T192" s="64" t="e">
        <f t="shared" si="20"/>
        <v>#DIV/0!</v>
      </c>
      <c r="U192" s="68" t="e">
        <f t="shared" si="21"/>
        <v>#DIV/0!</v>
      </c>
    </row>
    <row r="193" spans="1:21" x14ac:dyDescent="0.2">
      <c r="A193" s="61" t="s">
        <v>244</v>
      </c>
      <c r="B193" s="62" t="s">
        <v>253</v>
      </c>
      <c r="C193" s="62" t="s">
        <v>246</v>
      </c>
      <c r="D193" s="62" t="s">
        <v>602</v>
      </c>
      <c r="E193" s="63" t="s">
        <v>603</v>
      </c>
      <c r="F193" s="62" t="s">
        <v>257</v>
      </c>
      <c r="G193" s="62" t="s">
        <v>207</v>
      </c>
      <c r="H193" s="62" t="s">
        <v>17</v>
      </c>
      <c r="I193" s="62" t="s">
        <v>157</v>
      </c>
      <c r="J193" s="62"/>
      <c r="K193" s="64">
        <v>135.5</v>
      </c>
      <c r="L193" s="64">
        <f t="shared" si="18"/>
        <v>61.107843137254903</v>
      </c>
      <c r="M193" s="65">
        <f>prodnorm84</f>
        <v>0</v>
      </c>
      <c r="N193" s="66">
        <f>dagwerk84</f>
        <v>0</v>
      </c>
      <c r="O193" s="62" t="s">
        <v>45</v>
      </c>
      <c r="P193" s="67">
        <f>uurtarief84</f>
        <v>0</v>
      </c>
      <c r="Q193" s="64" t="e">
        <f t="shared" si="22"/>
        <v>#DIV/0!</v>
      </c>
      <c r="R193" s="64" t="e">
        <f t="shared" si="23"/>
        <v>#DIV/0!</v>
      </c>
      <c r="S193" s="67" t="e">
        <f t="shared" si="19"/>
        <v>#DIV/0!</v>
      </c>
      <c r="T193" s="64" t="e">
        <f t="shared" si="20"/>
        <v>#DIV/0!</v>
      </c>
      <c r="U193" s="68" t="e">
        <f t="shared" si="21"/>
        <v>#DIV/0!</v>
      </c>
    </row>
    <row r="194" spans="1:21" ht="25.5" x14ac:dyDescent="0.2">
      <c r="A194" s="61" t="s">
        <v>244</v>
      </c>
      <c r="B194" s="62" t="s">
        <v>253</v>
      </c>
      <c r="C194" s="62" t="s">
        <v>246</v>
      </c>
      <c r="D194" s="62" t="s">
        <v>604</v>
      </c>
      <c r="E194" s="63" t="s">
        <v>605</v>
      </c>
      <c r="F194" s="62" t="s">
        <v>249</v>
      </c>
      <c r="G194" s="62" t="s">
        <v>169</v>
      </c>
      <c r="H194" s="62" t="s">
        <v>12</v>
      </c>
      <c r="I194" s="62" t="s">
        <v>157</v>
      </c>
      <c r="J194" s="62"/>
      <c r="K194" s="64">
        <v>12</v>
      </c>
      <c r="L194" s="64">
        <f t="shared" si="18"/>
        <v>10.823529411764707</v>
      </c>
      <c r="M194" s="65">
        <f>prodnorm54</f>
        <v>0</v>
      </c>
      <c r="N194" s="66">
        <f>dagwerk54</f>
        <v>0</v>
      </c>
      <c r="O194" s="62" t="s">
        <v>45</v>
      </c>
      <c r="P194" s="67">
        <f>uurtarief54</f>
        <v>0</v>
      </c>
      <c r="Q194" s="64" t="e">
        <f t="shared" si="22"/>
        <v>#DIV/0!</v>
      </c>
      <c r="R194" s="64" t="e">
        <f t="shared" si="23"/>
        <v>#DIV/0!</v>
      </c>
      <c r="S194" s="67" t="e">
        <f t="shared" si="19"/>
        <v>#DIV/0!</v>
      </c>
      <c r="T194" s="64" t="e">
        <f t="shared" si="20"/>
        <v>#DIV/0!</v>
      </c>
      <c r="U194" s="68" t="e">
        <f t="shared" si="21"/>
        <v>#DIV/0!</v>
      </c>
    </row>
    <row r="195" spans="1:21" x14ac:dyDescent="0.2">
      <c r="A195" s="61" t="s">
        <v>244</v>
      </c>
      <c r="B195" s="62" t="s">
        <v>253</v>
      </c>
      <c r="C195" s="62" t="s">
        <v>246</v>
      </c>
      <c r="D195" s="62" t="s">
        <v>606</v>
      </c>
      <c r="E195" s="63" t="s">
        <v>607</v>
      </c>
      <c r="F195" s="62" t="s">
        <v>257</v>
      </c>
      <c r="G195" s="62" t="s">
        <v>161</v>
      </c>
      <c r="H195" s="62" t="s">
        <v>17</v>
      </c>
      <c r="I195" s="62" t="s">
        <v>157</v>
      </c>
      <c r="J195" s="62"/>
      <c r="K195" s="64">
        <v>48</v>
      </c>
      <c r="L195" s="64">
        <f t="shared" si="18"/>
        <v>21.647058823529413</v>
      </c>
      <c r="M195" s="65">
        <f>prodnorm42</f>
        <v>0</v>
      </c>
      <c r="N195" s="66">
        <f>dagwerk42</f>
        <v>0</v>
      </c>
      <c r="O195" s="62" t="s">
        <v>45</v>
      </c>
      <c r="P195" s="67">
        <f>uurtarief42</f>
        <v>0</v>
      </c>
      <c r="Q195" s="64" t="e">
        <f t="shared" si="22"/>
        <v>#DIV/0!</v>
      </c>
      <c r="R195" s="64" t="e">
        <f t="shared" si="23"/>
        <v>#DIV/0!</v>
      </c>
      <c r="S195" s="67" t="e">
        <f t="shared" si="19"/>
        <v>#DIV/0!</v>
      </c>
      <c r="T195" s="64" t="e">
        <f t="shared" si="20"/>
        <v>#DIV/0!</v>
      </c>
      <c r="U195" s="68" t="e">
        <f t="shared" si="21"/>
        <v>#DIV/0!</v>
      </c>
    </row>
    <row r="196" spans="1:21" x14ac:dyDescent="0.2">
      <c r="A196" s="61" t="s">
        <v>244</v>
      </c>
      <c r="B196" s="62" t="s">
        <v>253</v>
      </c>
      <c r="C196" s="62" t="s">
        <v>246</v>
      </c>
      <c r="D196" s="62" t="s">
        <v>608</v>
      </c>
      <c r="E196" s="63" t="s">
        <v>609</v>
      </c>
      <c r="F196" s="62" t="s">
        <v>257</v>
      </c>
      <c r="G196" s="62" t="s">
        <v>197</v>
      </c>
      <c r="H196" s="62" t="s">
        <v>12</v>
      </c>
      <c r="I196" s="62" t="s">
        <v>157</v>
      </c>
      <c r="J196" s="62"/>
      <c r="K196" s="64">
        <v>7.7</v>
      </c>
      <c r="L196" s="64">
        <f t="shared" si="18"/>
        <v>6.9450980392156865</v>
      </c>
      <c r="M196" s="65">
        <f>prodnorm75</f>
        <v>0</v>
      </c>
      <c r="N196" s="66">
        <f>dagwerk75</f>
        <v>0</v>
      </c>
      <c r="O196" s="62" t="s">
        <v>45</v>
      </c>
      <c r="P196" s="67">
        <f>uurtarief75</f>
        <v>0</v>
      </c>
      <c r="Q196" s="64" t="e">
        <f t="shared" si="22"/>
        <v>#DIV/0!</v>
      </c>
      <c r="R196" s="64" t="e">
        <f t="shared" si="23"/>
        <v>#DIV/0!</v>
      </c>
      <c r="S196" s="67" t="e">
        <f t="shared" si="19"/>
        <v>#DIV/0!</v>
      </c>
      <c r="T196" s="64" t="e">
        <f t="shared" si="20"/>
        <v>#DIV/0!</v>
      </c>
      <c r="U196" s="68" t="e">
        <f t="shared" si="21"/>
        <v>#DIV/0!</v>
      </c>
    </row>
    <row r="197" spans="1:21" x14ac:dyDescent="0.2">
      <c r="A197" s="61" t="s">
        <v>244</v>
      </c>
      <c r="B197" s="62" t="s">
        <v>253</v>
      </c>
      <c r="C197" s="62" t="s">
        <v>246</v>
      </c>
      <c r="D197" s="62" t="s">
        <v>610</v>
      </c>
      <c r="E197" s="63" t="s">
        <v>611</v>
      </c>
      <c r="F197" s="62" t="s">
        <v>257</v>
      </c>
      <c r="G197" s="62" t="s">
        <v>161</v>
      </c>
      <c r="H197" s="62" t="s">
        <v>17</v>
      </c>
      <c r="I197" s="62" t="s">
        <v>157</v>
      </c>
      <c r="J197" s="62"/>
      <c r="K197" s="64">
        <v>20</v>
      </c>
      <c r="L197" s="64">
        <f t="shared" ref="L197:L260" si="24">K197*VLOOKUP(H197,dagsoorttabel1,2,FALSE)</f>
        <v>9.0196078431372548</v>
      </c>
      <c r="M197" s="65">
        <f>prodnorm42</f>
        <v>0</v>
      </c>
      <c r="N197" s="66">
        <f>dagwerk42</f>
        <v>0</v>
      </c>
      <c r="O197" s="62" t="s">
        <v>45</v>
      </c>
      <c r="P197" s="67">
        <f>uurtarief42</f>
        <v>0</v>
      </c>
      <c r="Q197" s="64" t="e">
        <f t="shared" si="22"/>
        <v>#DIV/0!</v>
      </c>
      <c r="R197" s="64" t="e">
        <f t="shared" si="23"/>
        <v>#DIV/0!</v>
      </c>
      <c r="S197" s="67" t="e">
        <f t="shared" ref="S197:S260" si="25">ROUND(P197,2)*Q197</f>
        <v>#DIV/0!</v>
      </c>
      <c r="T197" s="64" t="e">
        <f t="shared" ref="T197:T260" si="26">Q197*dagenperjaar1</f>
        <v>#DIV/0!</v>
      </c>
      <c r="U197" s="68" t="e">
        <f t="shared" ref="U197:U260" si="27">T197*ROUND(P197,2)</f>
        <v>#DIV/0!</v>
      </c>
    </row>
    <row r="198" spans="1:21" x14ac:dyDescent="0.2">
      <c r="A198" s="61" t="s">
        <v>244</v>
      </c>
      <c r="B198" s="62" t="s">
        <v>253</v>
      </c>
      <c r="C198" s="62" t="s">
        <v>246</v>
      </c>
      <c r="D198" s="62" t="s">
        <v>612</v>
      </c>
      <c r="E198" s="63" t="s">
        <v>609</v>
      </c>
      <c r="F198" s="62" t="s">
        <v>257</v>
      </c>
      <c r="G198" s="62" t="s">
        <v>197</v>
      </c>
      <c r="H198" s="62" t="s">
        <v>12</v>
      </c>
      <c r="I198" s="62" t="s">
        <v>157</v>
      </c>
      <c r="J198" s="62"/>
      <c r="K198" s="64">
        <v>13</v>
      </c>
      <c r="L198" s="64">
        <f t="shared" si="24"/>
        <v>11.725490196078432</v>
      </c>
      <c r="M198" s="65">
        <f>prodnorm75</f>
        <v>0</v>
      </c>
      <c r="N198" s="66">
        <f>dagwerk75</f>
        <v>0</v>
      </c>
      <c r="O198" s="62" t="s">
        <v>45</v>
      </c>
      <c r="P198" s="67">
        <f>uurtarief75</f>
        <v>0</v>
      </c>
      <c r="Q198" s="64" t="e">
        <f t="shared" si="22"/>
        <v>#DIV/0!</v>
      </c>
      <c r="R198" s="64" t="e">
        <f t="shared" si="23"/>
        <v>#DIV/0!</v>
      </c>
      <c r="S198" s="67" t="e">
        <f t="shared" si="25"/>
        <v>#DIV/0!</v>
      </c>
      <c r="T198" s="64" t="e">
        <f t="shared" si="26"/>
        <v>#DIV/0!</v>
      </c>
      <c r="U198" s="68" t="e">
        <f t="shared" si="27"/>
        <v>#DIV/0!</v>
      </c>
    </row>
    <row r="199" spans="1:21" x14ac:dyDescent="0.2">
      <c r="A199" s="61" t="s">
        <v>244</v>
      </c>
      <c r="B199" s="62" t="s">
        <v>253</v>
      </c>
      <c r="C199" s="62" t="s">
        <v>246</v>
      </c>
      <c r="D199" s="62" t="s">
        <v>613</v>
      </c>
      <c r="E199" s="63" t="s">
        <v>614</v>
      </c>
      <c r="F199" s="62" t="s">
        <v>257</v>
      </c>
      <c r="G199" s="62" t="s">
        <v>161</v>
      </c>
      <c r="H199" s="62" t="s">
        <v>17</v>
      </c>
      <c r="I199" s="62" t="s">
        <v>157</v>
      </c>
      <c r="J199" s="62"/>
      <c r="K199" s="64">
        <v>20</v>
      </c>
      <c r="L199" s="64">
        <f t="shared" si="24"/>
        <v>9.0196078431372548</v>
      </c>
      <c r="M199" s="65">
        <f>prodnorm42</f>
        <v>0</v>
      </c>
      <c r="N199" s="66">
        <f>dagwerk42</f>
        <v>0</v>
      </c>
      <c r="O199" s="62" t="s">
        <v>45</v>
      </c>
      <c r="P199" s="67">
        <f>uurtarief42</f>
        <v>0</v>
      </c>
      <c r="Q199" s="64" t="e">
        <f t="shared" si="22"/>
        <v>#DIV/0!</v>
      </c>
      <c r="R199" s="64" t="e">
        <f t="shared" si="23"/>
        <v>#DIV/0!</v>
      </c>
      <c r="S199" s="67" t="e">
        <f t="shared" si="25"/>
        <v>#DIV/0!</v>
      </c>
      <c r="T199" s="64" t="e">
        <f t="shared" si="26"/>
        <v>#DIV/0!</v>
      </c>
      <c r="U199" s="68" t="e">
        <f t="shared" si="27"/>
        <v>#DIV/0!</v>
      </c>
    </row>
    <row r="200" spans="1:21" x14ac:dyDescent="0.2">
      <c r="A200" s="61" t="s">
        <v>244</v>
      </c>
      <c r="B200" s="62" t="s">
        <v>253</v>
      </c>
      <c r="C200" s="62" t="s">
        <v>246</v>
      </c>
      <c r="D200" s="62" t="s">
        <v>615</v>
      </c>
      <c r="E200" s="63" t="s">
        <v>609</v>
      </c>
      <c r="F200" s="62" t="s">
        <v>257</v>
      </c>
      <c r="G200" s="62" t="s">
        <v>197</v>
      </c>
      <c r="H200" s="62" t="s">
        <v>12</v>
      </c>
      <c r="I200" s="62" t="s">
        <v>157</v>
      </c>
      <c r="J200" s="62"/>
      <c r="K200" s="64">
        <v>13</v>
      </c>
      <c r="L200" s="64">
        <f t="shared" si="24"/>
        <v>11.725490196078432</v>
      </c>
      <c r="M200" s="65">
        <f>prodnorm75</f>
        <v>0</v>
      </c>
      <c r="N200" s="66">
        <f>dagwerk75</f>
        <v>0</v>
      </c>
      <c r="O200" s="62" t="s">
        <v>45</v>
      </c>
      <c r="P200" s="67">
        <f>uurtarief75</f>
        <v>0</v>
      </c>
      <c r="Q200" s="64" t="e">
        <f t="shared" si="22"/>
        <v>#DIV/0!</v>
      </c>
      <c r="R200" s="64" t="e">
        <f t="shared" si="23"/>
        <v>#DIV/0!</v>
      </c>
      <c r="S200" s="67" t="e">
        <f t="shared" si="25"/>
        <v>#DIV/0!</v>
      </c>
      <c r="T200" s="64" t="e">
        <f t="shared" si="26"/>
        <v>#DIV/0!</v>
      </c>
      <c r="U200" s="68" t="e">
        <f t="shared" si="27"/>
        <v>#DIV/0!</v>
      </c>
    </row>
    <row r="201" spans="1:21" x14ac:dyDescent="0.2">
      <c r="A201" s="61" t="s">
        <v>244</v>
      </c>
      <c r="B201" s="62" t="s">
        <v>253</v>
      </c>
      <c r="C201" s="62" t="s">
        <v>246</v>
      </c>
      <c r="D201" s="62" t="s">
        <v>616</v>
      </c>
      <c r="E201" s="63" t="s">
        <v>617</v>
      </c>
      <c r="F201" s="62" t="s">
        <v>257</v>
      </c>
      <c r="G201" s="62" t="s">
        <v>161</v>
      </c>
      <c r="H201" s="62" t="s">
        <v>17</v>
      </c>
      <c r="I201" s="62" t="s">
        <v>157</v>
      </c>
      <c r="J201" s="62"/>
      <c r="K201" s="64">
        <v>20</v>
      </c>
      <c r="L201" s="64">
        <f t="shared" si="24"/>
        <v>9.0196078431372548</v>
      </c>
      <c r="M201" s="65">
        <f>prodnorm42</f>
        <v>0</v>
      </c>
      <c r="N201" s="66">
        <f>dagwerk42</f>
        <v>0</v>
      </c>
      <c r="O201" s="62" t="s">
        <v>45</v>
      </c>
      <c r="P201" s="67">
        <f>uurtarief42</f>
        <v>0</v>
      </c>
      <c r="Q201" s="64" t="e">
        <f t="shared" si="22"/>
        <v>#DIV/0!</v>
      </c>
      <c r="R201" s="64" t="e">
        <f t="shared" si="23"/>
        <v>#DIV/0!</v>
      </c>
      <c r="S201" s="67" t="e">
        <f t="shared" si="25"/>
        <v>#DIV/0!</v>
      </c>
      <c r="T201" s="64" t="e">
        <f t="shared" si="26"/>
        <v>#DIV/0!</v>
      </c>
      <c r="U201" s="68" t="e">
        <f t="shared" si="27"/>
        <v>#DIV/0!</v>
      </c>
    </row>
    <row r="202" spans="1:21" x14ac:dyDescent="0.2">
      <c r="A202" s="61" t="s">
        <v>244</v>
      </c>
      <c r="B202" s="62" t="s">
        <v>253</v>
      </c>
      <c r="C202" s="62" t="s">
        <v>246</v>
      </c>
      <c r="D202" s="62" t="s">
        <v>618</v>
      </c>
      <c r="E202" s="63" t="s">
        <v>619</v>
      </c>
      <c r="F202" s="62" t="s">
        <v>257</v>
      </c>
      <c r="G202" s="62" t="s">
        <v>179</v>
      </c>
      <c r="H202" s="62" t="s">
        <v>12</v>
      </c>
      <c r="I202" s="62" t="s">
        <v>157</v>
      </c>
      <c r="J202" s="62"/>
      <c r="K202" s="64">
        <v>12</v>
      </c>
      <c r="L202" s="64">
        <f t="shared" si="24"/>
        <v>10.823529411764707</v>
      </c>
      <c r="M202" s="65">
        <f>prodnorm59</f>
        <v>0</v>
      </c>
      <c r="N202" s="66">
        <f>dagwerk59</f>
        <v>0</v>
      </c>
      <c r="O202" s="62" t="s">
        <v>45</v>
      </c>
      <c r="P202" s="67">
        <f>uurtarief59</f>
        <v>0</v>
      </c>
      <c r="Q202" s="64" t="e">
        <f t="shared" si="22"/>
        <v>#DIV/0!</v>
      </c>
      <c r="R202" s="64" t="e">
        <f t="shared" si="23"/>
        <v>#DIV/0!</v>
      </c>
      <c r="S202" s="67" t="e">
        <f t="shared" si="25"/>
        <v>#DIV/0!</v>
      </c>
      <c r="T202" s="64" t="e">
        <f t="shared" si="26"/>
        <v>#DIV/0!</v>
      </c>
      <c r="U202" s="68" t="e">
        <f t="shared" si="27"/>
        <v>#DIV/0!</v>
      </c>
    </row>
    <row r="203" spans="1:21" x14ac:dyDescent="0.2">
      <c r="A203" s="61" t="s">
        <v>244</v>
      </c>
      <c r="B203" s="62" t="s">
        <v>253</v>
      </c>
      <c r="C203" s="62" t="s">
        <v>246</v>
      </c>
      <c r="D203" s="62" t="s">
        <v>620</v>
      </c>
      <c r="E203" s="63" t="s">
        <v>621</v>
      </c>
      <c r="F203" s="62" t="s">
        <v>257</v>
      </c>
      <c r="G203" s="62" t="s">
        <v>161</v>
      </c>
      <c r="H203" s="62" t="s">
        <v>17</v>
      </c>
      <c r="I203" s="62" t="s">
        <v>157</v>
      </c>
      <c r="J203" s="62"/>
      <c r="K203" s="64">
        <v>23</v>
      </c>
      <c r="L203" s="64">
        <f t="shared" si="24"/>
        <v>10.372549019607844</v>
      </c>
      <c r="M203" s="65">
        <f>prodnorm42</f>
        <v>0</v>
      </c>
      <c r="N203" s="66">
        <f>dagwerk42</f>
        <v>0</v>
      </c>
      <c r="O203" s="62" t="s">
        <v>45</v>
      </c>
      <c r="P203" s="67">
        <f>uurtarief42</f>
        <v>0</v>
      </c>
      <c r="Q203" s="64" t="e">
        <f t="shared" ref="Q203:Q266" si="28">IF(ISBLANK(M203),0,L203/ROUND(M203,4))</f>
        <v>#DIV/0!</v>
      </c>
      <c r="R203" s="64" t="e">
        <f t="shared" ref="R203:R266" si="29">IF(ISBLANK(M203),0,Q203*ROUND(N203,2))</f>
        <v>#DIV/0!</v>
      </c>
      <c r="S203" s="67" t="e">
        <f t="shared" si="25"/>
        <v>#DIV/0!</v>
      </c>
      <c r="T203" s="64" t="e">
        <f t="shared" si="26"/>
        <v>#DIV/0!</v>
      </c>
      <c r="U203" s="68" t="e">
        <f t="shared" si="27"/>
        <v>#DIV/0!</v>
      </c>
    </row>
    <row r="204" spans="1:21" x14ac:dyDescent="0.2">
      <c r="A204" s="61" t="s">
        <v>244</v>
      </c>
      <c r="B204" s="62" t="s">
        <v>253</v>
      </c>
      <c r="C204" s="62" t="s">
        <v>246</v>
      </c>
      <c r="D204" s="62" t="s">
        <v>622</v>
      </c>
      <c r="E204" s="63" t="s">
        <v>623</v>
      </c>
      <c r="F204" s="62" t="s">
        <v>257</v>
      </c>
      <c r="G204" s="62" t="s">
        <v>207</v>
      </c>
      <c r="H204" s="62" t="s">
        <v>17</v>
      </c>
      <c r="I204" s="62" t="s">
        <v>157</v>
      </c>
      <c r="J204" s="62"/>
      <c r="K204" s="64">
        <v>7</v>
      </c>
      <c r="L204" s="64">
        <f t="shared" si="24"/>
        <v>3.1568627450980391</v>
      </c>
      <c r="M204" s="65">
        <f>prodnorm84</f>
        <v>0</v>
      </c>
      <c r="N204" s="66">
        <f>dagwerk84</f>
        <v>0</v>
      </c>
      <c r="O204" s="62" t="s">
        <v>45</v>
      </c>
      <c r="P204" s="67">
        <f>uurtarief84</f>
        <v>0</v>
      </c>
      <c r="Q204" s="64" t="e">
        <f t="shared" si="28"/>
        <v>#DIV/0!</v>
      </c>
      <c r="R204" s="64" t="e">
        <f t="shared" si="29"/>
        <v>#DIV/0!</v>
      </c>
      <c r="S204" s="67" t="e">
        <f t="shared" si="25"/>
        <v>#DIV/0!</v>
      </c>
      <c r="T204" s="64" t="e">
        <f t="shared" si="26"/>
        <v>#DIV/0!</v>
      </c>
      <c r="U204" s="68" t="e">
        <f t="shared" si="27"/>
        <v>#DIV/0!</v>
      </c>
    </row>
    <row r="205" spans="1:21" x14ac:dyDescent="0.2">
      <c r="A205" s="61" t="s">
        <v>244</v>
      </c>
      <c r="B205" s="62" t="s">
        <v>253</v>
      </c>
      <c r="C205" s="62" t="s">
        <v>246</v>
      </c>
      <c r="D205" s="62" t="s">
        <v>624</v>
      </c>
      <c r="E205" s="63" t="s">
        <v>625</v>
      </c>
      <c r="F205" s="62" t="s">
        <v>257</v>
      </c>
      <c r="G205" s="62" t="s">
        <v>161</v>
      </c>
      <c r="H205" s="62" t="s">
        <v>17</v>
      </c>
      <c r="I205" s="62" t="s">
        <v>157</v>
      </c>
      <c r="J205" s="62"/>
      <c r="K205" s="64">
        <v>18</v>
      </c>
      <c r="L205" s="64">
        <f t="shared" si="24"/>
        <v>8.117647058823529</v>
      </c>
      <c r="M205" s="65">
        <f>prodnorm42</f>
        <v>0</v>
      </c>
      <c r="N205" s="66">
        <f>dagwerk42</f>
        <v>0</v>
      </c>
      <c r="O205" s="62" t="s">
        <v>45</v>
      </c>
      <c r="P205" s="67">
        <f>uurtarief42</f>
        <v>0</v>
      </c>
      <c r="Q205" s="64" t="e">
        <f t="shared" si="28"/>
        <v>#DIV/0!</v>
      </c>
      <c r="R205" s="64" t="e">
        <f t="shared" si="29"/>
        <v>#DIV/0!</v>
      </c>
      <c r="S205" s="67" t="e">
        <f t="shared" si="25"/>
        <v>#DIV/0!</v>
      </c>
      <c r="T205" s="64" t="e">
        <f t="shared" si="26"/>
        <v>#DIV/0!</v>
      </c>
      <c r="U205" s="68" t="e">
        <f t="shared" si="27"/>
        <v>#DIV/0!</v>
      </c>
    </row>
    <row r="206" spans="1:21" x14ac:dyDescent="0.2">
      <c r="A206" s="61" t="s">
        <v>244</v>
      </c>
      <c r="B206" s="62" t="s">
        <v>253</v>
      </c>
      <c r="C206" s="62" t="s">
        <v>246</v>
      </c>
      <c r="D206" s="62" t="s">
        <v>626</v>
      </c>
      <c r="E206" s="63" t="s">
        <v>627</v>
      </c>
      <c r="F206" s="62" t="s">
        <v>257</v>
      </c>
      <c r="G206" s="62" t="s">
        <v>193</v>
      </c>
      <c r="H206" s="62" t="s">
        <v>12</v>
      </c>
      <c r="I206" s="62" t="s">
        <v>157</v>
      </c>
      <c r="J206" s="62"/>
      <c r="K206" s="64">
        <v>5</v>
      </c>
      <c r="L206" s="64">
        <f t="shared" si="24"/>
        <v>4.5098039215686274</v>
      </c>
      <c r="M206" s="65">
        <f>prodnorm72</f>
        <v>0</v>
      </c>
      <c r="N206" s="66">
        <f>dagwerk72</f>
        <v>0</v>
      </c>
      <c r="O206" s="62" t="s">
        <v>45</v>
      </c>
      <c r="P206" s="67">
        <f>uurtarief72</f>
        <v>0</v>
      </c>
      <c r="Q206" s="64" t="e">
        <f t="shared" si="28"/>
        <v>#DIV/0!</v>
      </c>
      <c r="R206" s="64" t="e">
        <f t="shared" si="29"/>
        <v>#DIV/0!</v>
      </c>
      <c r="S206" s="67" t="e">
        <f t="shared" si="25"/>
        <v>#DIV/0!</v>
      </c>
      <c r="T206" s="64" t="e">
        <f t="shared" si="26"/>
        <v>#DIV/0!</v>
      </c>
      <c r="U206" s="68" t="e">
        <f t="shared" si="27"/>
        <v>#DIV/0!</v>
      </c>
    </row>
    <row r="207" spans="1:21" x14ac:dyDescent="0.2">
      <c r="A207" s="61" t="s">
        <v>244</v>
      </c>
      <c r="B207" s="62" t="s">
        <v>253</v>
      </c>
      <c r="C207" s="62" t="s">
        <v>246</v>
      </c>
      <c r="D207" s="62" t="s">
        <v>628</v>
      </c>
      <c r="E207" s="63" t="s">
        <v>629</v>
      </c>
      <c r="F207" s="62" t="s">
        <v>257</v>
      </c>
      <c r="G207" s="62" t="s">
        <v>161</v>
      </c>
      <c r="H207" s="62" t="s">
        <v>17</v>
      </c>
      <c r="I207" s="62" t="s">
        <v>157</v>
      </c>
      <c r="J207" s="62"/>
      <c r="K207" s="64">
        <v>15.6</v>
      </c>
      <c r="L207" s="64">
        <f t="shared" si="24"/>
        <v>7.0352941176470587</v>
      </c>
      <c r="M207" s="65">
        <f>prodnorm42</f>
        <v>0</v>
      </c>
      <c r="N207" s="66">
        <f>dagwerk42</f>
        <v>0</v>
      </c>
      <c r="O207" s="62" t="s">
        <v>45</v>
      </c>
      <c r="P207" s="67">
        <f>uurtarief42</f>
        <v>0</v>
      </c>
      <c r="Q207" s="64" t="e">
        <f t="shared" si="28"/>
        <v>#DIV/0!</v>
      </c>
      <c r="R207" s="64" t="e">
        <f t="shared" si="29"/>
        <v>#DIV/0!</v>
      </c>
      <c r="S207" s="67" t="e">
        <f t="shared" si="25"/>
        <v>#DIV/0!</v>
      </c>
      <c r="T207" s="64" t="e">
        <f t="shared" si="26"/>
        <v>#DIV/0!</v>
      </c>
      <c r="U207" s="68" t="e">
        <f t="shared" si="27"/>
        <v>#DIV/0!</v>
      </c>
    </row>
    <row r="208" spans="1:21" x14ac:dyDescent="0.2">
      <c r="A208" s="61" t="s">
        <v>244</v>
      </c>
      <c r="B208" s="62" t="s">
        <v>253</v>
      </c>
      <c r="C208" s="62" t="s">
        <v>246</v>
      </c>
      <c r="D208" s="62" t="s">
        <v>630</v>
      </c>
      <c r="E208" s="63" t="s">
        <v>631</v>
      </c>
      <c r="F208" s="62" t="s">
        <v>257</v>
      </c>
      <c r="G208" s="62" t="s">
        <v>177</v>
      </c>
      <c r="H208" s="62" t="s">
        <v>12</v>
      </c>
      <c r="I208" s="62" t="s">
        <v>157</v>
      </c>
      <c r="J208" s="62"/>
      <c r="K208" s="64">
        <v>9</v>
      </c>
      <c r="L208" s="64">
        <f t="shared" si="24"/>
        <v>8.117647058823529</v>
      </c>
      <c r="M208" s="65">
        <f>prodnorm58</f>
        <v>0</v>
      </c>
      <c r="N208" s="66">
        <f>dagwerk58</f>
        <v>0</v>
      </c>
      <c r="O208" s="62" t="s">
        <v>45</v>
      </c>
      <c r="P208" s="67">
        <f>uurtarief58</f>
        <v>0</v>
      </c>
      <c r="Q208" s="64" t="e">
        <f t="shared" si="28"/>
        <v>#DIV/0!</v>
      </c>
      <c r="R208" s="64" t="e">
        <f t="shared" si="29"/>
        <v>#DIV/0!</v>
      </c>
      <c r="S208" s="67" t="e">
        <f t="shared" si="25"/>
        <v>#DIV/0!</v>
      </c>
      <c r="T208" s="64" t="e">
        <f t="shared" si="26"/>
        <v>#DIV/0!</v>
      </c>
      <c r="U208" s="68" t="e">
        <f t="shared" si="27"/>
        <v>#DIV/0!</v>
      </c>
    </row>
    <row r="209" spans="1:21" x14ac:dyDescent="0.2">
      <c r="A209" s="61" t="s">
        <v>244</v>
      </c>
      <c r="B209" s="62" t="s">
        <v>253</v>
      </c>
      <c r="C209" s="62" t="s">
        <v>246</v>
      </c>
      <c r="D209" s="62" t="s">
        <v>632</v>
      </c>
      <c r="E209" s="63" t="s">
        <v>633</v>
      </c>
      <c r="F209" s="62" t="s">
        <v>257</v>
      </c>
      <c r="G209" s="62" t="s">
        <v>179</v>
      </c>
      <c r="H209" s="62" t="s">
        <v>12</v>
      </c>
      <c r="I209" s="62" t="s">
        <v>157</v>
      </c>
      <c r="J209" s="62"/>
      <c r="K209" s="64">
        <v>23</v>
      </c>
      <c r="L209" s="64">
        <f t="shared" si="24"/>
        <v>20.745098039215687</v>
      </c>
      <c r="M209" s="65">
        <f>prodnorm59</f>
        <v>0</v>
      </c>
      <c r="N209" s="66">
        <f>dagwerk59</f>
        <v>0</v>
      </c>
      <c r="O209" s="62" t="s">
        <v>45</v>
      </c>
      <c r="P209" s="67">
        <f>uurtarief59</f>
        <v>0</v>
      </c>
      <c r="Q209" s="64" t="e">
        <f t="shared" si="28"/>
        <v>#DIV/0!</v>
      </c>
      <c r="R209" s="64" t="e">
        <f t="shared" si="29"/>
        <v>#DIV/0!</v>
      </c>
      <c r="S209" s="67" t="e">
        <f t="shared" si="25"/>
        <v>#DIV/0!</v>
      </c>
      <c r="T209" s="64" t="e">
        <f t="shared" si="26"/>
        <v>#DIV/0!</v>
      </c>
      <c r="U209" s="68" t="e">
        <f t="shared" si="27"/>
        <v>#DIV/0!</v>
      </c>
    </row>
    <row r="210" spans="1:21" x14ac:dyDescent="0.2">
      <c r="A210" s="61" t="s">
        <v>244</v>
      </c>
      <c r="B210" s="62" t="s">
        <v>253</v>
      </c>
      <c r="C210" s="62" t="s">
        <v>246</v>
      </c>
      <c r="D210" s="62" t="s">
        <v>634</v>
      </c>
      <c r="E210" s="63" t="s">
        <v>635</v>
      </c>
      <c r="F210" s="62" t="s">
        <v>257</v>
      </c>
      <c r="G210" s="62" t="s">
        <v>179</v>
      </c>
      <c r="H210" s="62" t="s">
        <v>12</v>
      </c>
      <c r="I210" s="62" t="s">
        <v>157</v>
      </c>
      <c r="J210" s="62"/>
      <c r="K210" s="64">
        <v>18</v>
      </c>
      <c r="L210" s="64">
        <f t="shared" si="24"/>
        <v>16.235294117647058</v>
      </c>
      <c r="M210" s="65">
        <f>prodnorm59</f>
        <v>0</v>
      </c>
      <c r="N210" s="66">
        <f>dagwerk59</f>
        <v>0</v>
      </c>
      <c r="O210" s="62" t="s">
        <v>45</v>
      </c>
      <c r="P210" s="67">
        <f>uurtarief59</f>
        <v>0</v>
      </c>
      <c r="Q210" s="64" t="e">
        <f t="shared" si="28"/>
        <v>#DIV/0!</v>
      </c>
      <c r="R210" s="64" t="e">
        <f t="shared" si="29"/>
        <v>#DIV/0!</v>
      </c>
      <c r="S210" s="67" t="e">
        <f t="shared" si="25"/>
        <v>#DIV/0!</v>
      </c>
      <c r="T210" s="64" t="e">
        <f t="shared" si="26"/>
        <v>#DIV/0!</v>
      </c>
      <c r="U210" s="68" t="e">
        <f t="shared" si="27"/>
        <v>#DIV/0!</v>
      </c>
    </row>
    <row r="211" spans="1:21" x14ac:dyDescent="0.2">
      <c r="A211" s="61" t="s">
        <v>244</v>
      </c>
      <c r="B211" s="62" t="s">
        <v>253</v>
      </c>
      <c r="C211" s="62" t="s">
        <v>246</v>
      </c>
      <c r="D211" s="62" t="s">
        <v>636</v>
      </c>
      <c r="E211" s="63" t="s">
        <v>635</v>
      </c>
      <c r="F211" s="62" t="s">
        <v>257</v>
      </c>
      <c r="G211" s="62" t="s">
        <v>179</v>
      </c>
      <c r="H211" s="62" t="s">
        <v>12</v>
      </c>
      <c r="I211" s="62" t="s">
        <v>157</v>
      </c>
      <c r="J211" s="62"/>
      <c r="K211" s="64">
        <v>15</v>
      </c>
      <c r="L211" s="64">
        <f t="shared" si="24"/>
        <v>13.529411764705882</v>
      </c>
      <c r="M211" s="65">
        <f>prodnorm59</f>
        <v>0</v>
      </c>
      <c r="N211" s="66">
        <f>dagwerk59</f>
        <v>0</v>
      </c>
      <c r="O211" s="62" t="s">
        <v>45</v>
      </c>
      <c r="P211" s="67">
        <f>uurtarief59</f>
        <v>0</v>
      </c>
      <c r="Q211" s="64" t="e">
        <f t="shared" si="28"/>
        <v>#DIV/0!</v>
      </c>
      <c r="R211" s="64" t="e">
        <f t="shared" si="29"/>
        <v>#DIV/0!</v>
      </c>
      <c r="S211" s="67" t="e">
        <f t="shared" si="25"/>
        <v>#DIV/0!</v>
      </c>
      <c r="T211" s="64" t="e">
        <f t="shared" si="26"/>
        <v>#DIV/0!</v>
      </c>
      <c r="U211" s="68" t="e">
        <f t="shared" si="27"/>
        <v>#DIV/0!</v>
      </c>
    </row>
    <row r="212" spans="1:21" x14ac:dyDescent="0.2">
      <c r="A212" s="61" t="s">
        <v>244</v>
      </c>
      <c r="B212" s="62" t="s">
        <v>253</v>
      </c>
      <c r="C212" s="62" t="s">
        <v>246</v>
      </c>
      <c r="D212" s="62" t="s">
        <v>637</v>
      </c>
      <c r="E212" s="63" t="s">
        <v>638</v>
      </c>
      <c r="F212" s="62" t="s">
        <v>249</v>
      </c>
      <c r="G212" s="62" t="s">
        <v>201</v>
      </c>
      <c r="H212" s="62" t="s">
        <v>12</v>
      </c>
      <c r="I212" s="62" t="s">
        <v>157</v>
      </c>
      <c r="J212" s="62"/>
      <c r="K212" s="64">
        <v>5.6</v>
      </c>
      <c r="L212" s="64">
        <f t="shared" si="24"/>
        <v>5.0509803921568626</v>
      </c>
      <c r="M212" s="65">
        <f>prodnorm77</f>
        <v>0</v>
      </c>
      <c r="N212" s="66">
        <f>dagwerk77</f>
        <v>0</v>
      </c>
      <c r="O212" s="62" t="s">
        <v>45</v>
      </c>
      <c r="P212" s="67">
        <f>uurtarief77</f>
        <v>0</v>
      </c>
      <c r="Q212" s="64" t="e">
        <f t="shared" si="28"/>
        <v>#DIV/0!</v>
      </c>
      <c r="R212" s="64" t="e">
        <f t="shared" si="29"/>
        <v>#DIV/0!</v>
      </c>
      <c r="S212" s="67" t="e">
        <f t="shared" si="25"/>
        <v>#DIV/0!</v>
      </c>
      <c r="T212" s="64" t="e">
        <f t="shared" si="26"/>
        <v>#DIV/0!</v>
      </c>
      <c r="U212" s="68" t="e">
        <f t="shared" si="27"/>
        <v>#DIV/0!</v>
      </c>
    </row>
    <row r="213" spans="1:21" x14ac:dyDescent="0.2">
      <c r="A213" s="61" t="s">
        <v>244</v>
      </c>
      <c r="B213" s="62" t="s">
        <v>253</v>
      </c>
      <c r="C213" s="62" t="s">
        <v>246</v>
      </c>
      <c r="D213" s="62" t="s">
        <v>639</v>
      </c>
      <c r="E213" s="63" t="s">
        <v>640</v>
      </c>
      <c r="F213" s="62" t="s">
        <v>249</v>
      </c>
      <c r="G213" s="62" t="s">
        <v>201</v>
      </c>
      <c r="H213" s="62" t="s">
        <v>12</v>
      </c>
      <c r="I213" s="62" t="s">
        <v>157</v>
      </c>
      <c r="J213" s="62"/>
      <c r="K213" s="64">
        <v>5.6</v>
      </c>
      <c r="L213" s="64">
        <f t="shared" si="24"/>
        <v>5.0509803921568626</v>
      </c>
      <c r="M213" s="65">
        <f>prodnorm77</f>
        <v>0</v>
      </c>
      <c r="N213" s="66">
        <f>dagwerk77</f>
        <v>0</v>
      </c>
      <c r="O213" s="62" t="s">
        <v>45</v>
      </c>
      <c r="P213" s="67">
        <f>uurtarief77</f>
        <v>0</v>
      </c>
      <c r="Q213" s="64" t="e">
        <f t="shared" si="28"/>
        <v>#DIV/0!</v>
      </c>
      <c r="R213" s="64" t="e">
        <f t="shared" si="29"/>
        <v>#DIV/0!</v>
      </c>
      <c r="S213" s="67" t="e">
        <f t="shared" si="25"/>
        <v>#DIV/0!</v>
      </c>
      <c r="T213" s="64" t="e">
        <f t="shared" si="26"/>
        <v>#DIV/0!</v>
      </c>
      <c r="U213" s="68" t="e">
        <f t="shared" si="27"/>
        <v>#DIV/0!</v>
      </c>
    </row>
    <row r="214" spans="1:21" x14ac:dyDescent="0.2">
      <c r="A214" s="61" t="s">
        <v>244</v>
      </c>
      <c r="B214" s="62" t="s">
        <v>253</v>
      </c>
      <c r="C214" s="62" t="s">
        <v>246</v>
      </c>
      <c r="D214" s="62" t="s">
        <v>641</v>
      </c>
      <c r="E214" s="63" t="s">
        <v>642</v>
      </c>
      <c r="F214" s="62" t="s">
        <v>257</v>
      </c>
      <c r="G214" s="62" t="s">
        <v>161</v>
      </c>
      <c r="H214" s="62" t="s">
        <v>17</v>
      </c>
      <c r="I214" s="62" t="s">
        <v>157</v>
      </c>
      <c r="J214" s="62"/>
      <c r="K214" s="64">
        <v>14.7</v>
      </c>
      <c r="L214" s="64">
        <f t="shared" si="24"/>
        <v>6.6294117647058819</v>
      </c>
      <c r="M214" s="65">
        <f>prodnorm42</f>
        <v>0</v>
      </c>
      <c r="N214" s="66">
        <f>dagwerk42</f>
        <v>0</v>
      </c>
      <c r="O214" s="62" t="s">
        <v>45</v>
      </c>
      <c r="P214" s="67">
        <f>uurtarief42</f>
        <v>0</v>
      </c>
      <c r="Q214" s="64" t="e">
        <f t="shared" si="28"/>
        <v>#DIV/0!</v>
      </c>
      <c r="R214" s="64" t="e">
        <f t="shared" si="29"/>
        <v>#DIV/0!</v>
      </c>
      <c r="S214" s="67" t="e">
        <f t="shared" si="25"/>
        <v>#DIV/0!</v>
      </c>
      <c r="T214" s="64" t="e">
        <f t="shared" si="26"/>
        <v>#DIV/0!</v>
      </c>
      <c r="U214" s="68" t="e">
        <f t="shared" si="27"/>
        <v>#DIV/0!</v>
      </c>
    </row>
    <row r="215" spans="1:21" x14ac:dyDescent="0.2">
      <c r="A215" s="61" t="s">
        <v>244</v>
      </c>
      <c r="B215" s="62" t="s">
        <v>253</v>
      </c>
      <c r="C215" s="62" t="s">
        <v>246</v>
      </c>
      <c r="D215" s="62" t="s">
        <v>643</v>
      </c>
      <c r="E215" s="63" t="s">
        <v>644</v>
      </c>
      <c r="F215" s="62" t="s">
        <v>495</v>
      </c>
      <c r="G215" s="62" t="s">
        <v>181</v>
      </c>
      <c r="H215" s="62" t="s">
        <v>17</v>
      </c>
      <c r="I215" s="62" t="s">
        <v>157</v>
      </c>
      <c r="J215" s="62"/>
      <c r="K215" s="64">
        <v>172</v>
      </c>
      <c r="L215" s="64">
        <f t="shared" si="24"/>
        <v>77.568627450980387</v>
      </c>
      <c r="M215" s="65">
        <f>prodnorm60</f>
        <v>0</v>
      </c>
      <c r="N215" s="66">
        <f>dagwerk60</f>
        <v>0</v>
      </c>
      <c r="O215" s="62" t="s">
        <v>45</v>
      </c>
      <c r="P215" s="67">
        <f>uurtarief60</f>
        <v>0</v>
      </c>
      <c r="Q215" s="64" t="e">
        <f t="shared" si="28"/>
        <v>#DIV/0!</v>
      </c>
      <c r="R215" s="64" t="e">
        <f t="shared" si="29"/>
        <v>#DIV/0!</v>
      </c>
      <c r="S215" s="67" t="e">
        <f t="shared" si="25"/>
        <v>#DIV/0!</v>
      </c>
      <c r="T215" s="64" t="e">
        <f t="shared" si="26"/>
        <v>#DIV/0!</v>
      </c>
      <c r="U215" s="68" t="e">
        <f t="shared" si="27"/>
        <v>#DIV/0!</v>
      </c>
    </row>
    <row r="216" spans="1:21" x14ac:dyDescent="0.2">
      <c r="A216" s="61" t="s">
        <v>244</v>
      </c>
      <c r="B216" s="62" t="s">
        <v>253</v>
      </c>
      <c r="C216" s="62" t="s">
        <v>246</v>
      </c>
      <c r="D216" s="62" t="s">
        <v>645</v>
      </c>
      <c r="E216" s="63" t="s">
        <v>288</v>
      </c>
      <c r="F216" s="62" t="s">
        <v>289</v>
      </c>
      <c r="G216" s="62" t="s">
        <v>205</v>
      </c>
      <c r="H216" s="62" t="s">
        <v>22</v>
      </c>
      <c r="I216" s="62" t="s">
        <v>157</v>
      </c>
      <c r="J216" s="62"/>
      <c r="K216" s="64">
        <v>15</v>
      </c>
      <c r="L216" s="64">
        <f t="shared" si="24"/>
        <v>3</v>
      </c>
      <c r="M216" s="65">
        <f>prodnorm83</f>
        <v>0</v>
      </c>
      <c r="N216" s="66">
        <f>dagwerk83</f>
        <v>0</v>
      </c>
      <c r="O216" s="62" t="s">
        <v>45</v>
      </c>
      <c r="P216" s="67">
        <f>uurtarief83</f>
        <v>0</v>
      </c>
      <c r="Q216" s="64" t="e">
        <f t="shared" si="28"/>
        <v>#DIV/0!</v>
      </c>
      <c r="R216" s="64" t="e">
        <f t="shared" si="29"/>
        <v>#DIV/0!</v>
      </c>
      <c r="S216" s="67" t="e">
        <f t="shared" si="25"/>
        <v>#DIV/0!</v>
      </c>
      <c r="T216" s="64" t="e">
        <f t="shared" si="26"/>
        <v>#DIV/0!</v>
      </c>
      <c r="U216" s="68" t="e">
        <f t="shared" si="27"/>
        <v>#DIV/0!</v>
      </c>
    </row>
    <row r="217" spans="1:21" x14ac:dyDescent="0.2">
      <c r="A217" s="61" t="s">
        <v>244</v>
      </c>
      <c r="B217" s="62" t="s">
        <v>253</v>
      </c>
      <c r="C217" s="62" t="s">
        <v>246</v>
      </c>
      <c r="D217" s="62" t="s">
        <v>646</v>
      </c>
      <c r="E217" s="63" t="s">
        <v>647</v>
      </c>
      <c r="F217" s="62" t="s">
        <v>257</v>
      </c>
      <c r="G217" s="62" t="s">
        <v>161</v>
      </c>
      <c r="H217" s="62" t="s">
        <v>17</v>
      </c>
      <c r="I217" s="62" t="s">
        <v>157</v>
      </c>
      <c r="J217" s="62"/>
      <c r="K217" s="64">
        <v>19.5</v>
      </c>
      <c r="L217" s="64">
        <f t="shared" si="24"/>
        <v>8.7941176470588243</v>
      </c>
      <c r="M217" s="65">
        <f>prodnorm42</f>
        <v>0</v>
      </c>
      <c r="N217" s="66">
        <f>dagwerk42</f>
        <v>0</v>
      </c>
      <c r="O217" s="62" t="s">
        <v>45</v>
      </c>
      <c r="P217" s="67">
        <f>uurtarief42</f>
        <v>0</v>
      </c>
      <c r="Q217" s="64" t="e">
        <f t="shared" si="28"/>
        <v>#DIV/0!</v>
      </c>
      <c r="R217" s="64" t="e">
        <f t="shared" si="29"/>
        <v>#DIV/0!</v>
      </c>
      <c r="S217" s="67" t="e">
        <f t="shared" si="25"/>
        <v>#DIV/0!</v>
      </c>
      <c r="T217" s="64" t="e">
        <f t="shared" si="26"/>
        <v>#DIV/0!</v>
      </c>
      <c r="U217" s="68" t="e">
        <f t="shared" si="27"/>
        <v>#DIV/0!</v>
      </c>
    </row>
    <row r="218" spans="1:21" x14ac:dyDescent="0.2">
      <c r="A218" s="61" t="s">
        <v>244</v>
      </c>
      <c r="B218" s="62" t="s">
        <v>253</v>
      </c>
      <c r="C218" s="62" t="s">
        <v>246</v>
      </c>
      <c r="D218" s="62" t="s">
        <v>648</v>
      </c>
      <c r="E218" s="63" t="s">
        <v>647</v>
      </c>
      <c r="F218" s="62" t="s">
        <v>257</v>
      </c>
      <c r="G218" s="62" t="s">
        <v>161</v>
      </c>
      <c r="H218" s="62" t="s">
        <v>17</v>
      </c>
      <c r="I218" s="62" t="s">
        <v>157</v>
      </c>
      <c r="J218" s="62"/>
      <c r="K218" s="64">
        <v>10</v>
      </c>
      <c r="L218" s="64">
        <f t="shared" si="24"/>
        <v>4.5098039215686274</v>
      </c>
      <c r="M218" s="65">
        <f>prodnorm42</f>
        <v>0</v>
      </c>
      <c r="N218" s="66">
        <f>dagwerk42</f>
        <v>0</v>
      </c>
      <c r="O218" s="62" t="s">
        <v>45</v>
      </c>
      <c r="P218" s="67">
        <f>uurtarief42</f>
        <v>0</v>
      </c>
      <c r="Q218" s="64" t="e">
        <f t="shared" si="28"/>
        <v>#DIV/0!</v>
      </c>
      <c r="R218" s="64" t="e">
        <f t="shared" si="29"/>
        <v>#DIV/0!</v>
      </c>
      <c r="S218" s="67" t="e">
        <f t="shared" si="25"/>
        <v>#DIV/0!</v>
      </c>
      <c r="T218" s="64" t="e">
        <f t="shared" si="26"/>
        <v>#DIV/0!</v>
      </c>
      <c r="U218" s="68" t="e">
        <f t="shared" si="27"/>
        <v>#DIV/0!</v>
      </c>
    </row>
    <row r="219" spans="1:21" x14ac:dyDescent="0.2">
      <c r="A219" s="61" t="s">
        <v>244</v>
      </c>
      <c r="B219" s="62" t="s">
        <v>253</v>
      </c>
      <c r="C219" s="62" t="s">
        <v>246</v>
      </c>
      <c r="D219" s="62" t="s">
        <v>649</v>
      </c>
      <c r="E219" s="63" t="s">
        <v>650</v>
      </c>
      <c r="F219" s="62" t="s">
        <v>249</v>
      </c>
      <c r="G219" s="62" t="s">
        <v>201</v>
      </c>
      <c r="H219" s="62" t="s">
        <v>11</v>
      </c>
      <c r="I219" s="62" t="s">
        <v>157</v>
      </c>
      <c r="J219" s="62"/>
      <c r="K219" s="64">
        <v>10</v>
      </c>
      <c r="L219" s="64">
        <f t="shared" si="24"/>
        <v>10</v>
      </c>
      <c r="M219" s="65">
        <f>prodnorm78</f>
        <v>0</v>
      </c>
      <c r="N219" s="66">
        <f>dagwerk78</f>
        <v>0</v>
      </c>
      <c r="O219" s="62" t="s">
        <v>45</v>
      </c>
      <c r="P219" s="67">
        <f>uurtarief78</f>
        <v>0</v>
      </c>
      <c r="Q219" s="64" t="e">
        <f t="shared" si="28"/>
        <v>#DIV/0!</v>
      </c>
      <c r="R219" s="64" t="e">
        <f t="shared" si="29"/>
        <v>#DIV/0!</v>
      </c>
      <c r="S219" s="67" t="e">
        <f t="shared" si="25"/>
        <v>#DIV/0!</v>
      </c>
      <c r="T219" s="64" t="e">
        <f t="shared" si="26"/>
        <v>#DIV/0!</v>
      </c>
      <c r="U219" s="68" t="e">
        <f t="shared" si="27"/>
        <v>#DIV/0!</v>
      </c>
    </row>
    <row r="220" spans="1:21" x14ac:dyDescent="0.2">
      <c r="A220" s="61" t="s">
        <v>244</v>
      </c>
      <c r="B220" s="62" t="s">
        <v>253</v>
      </c>
      <c r="C220" s="62" t="s">
        <v>246</v>
      </c>
      <c r="D220" s="62" t="s">
        <v>651</v>
      </c>
      <c r="E220" s="63" t="s">
        <v>652</v>
      </c>
      <c r="F220" s="62" t="s">
        <v>257</v>
      </c>
      <c r="G220" s="62" t="s">
        <v>183</v>
      </c>
      <c r="H220" s="62" t="s">
        <v>12</v>
      </c>
      <c r="I220" s="62" t="s">
        <v>157</v>
      </c>
      <c r="J220" s="62"/>
      <c r="K220" s="64">
        <v>5</v>
      </c>
      <c r="L220" s="64">
        <f t="shared" si="24"/>
        <v>4.5098039215686274</v>
      </c>
      <c r="M220" s="65">
        <f>prodnorm65</f>
        <v>0</v>
      </c>
      <c r="N220" s="66">
        <f>dagwerk65</f>
        <v>0</v>
      </c>
      <c r="O220" s="62" t="s">
        <v>45</v>
      </c>
      <c r="P220" s="67">
        <f>uurtarief65</f>
        <v>0</v>
      </c>
      <c r="Q220" s="64" t="e">
        <f t="shared" si="28"/>
        <v>#DIV/0!</v>
      </c>
      <c r="R220" s="64" t="e">
        <f t="shared" si="29"/>
        <v>#DIV/0!</v>
      </c>
      <c r="S220" s="67" t="e">
        <f t="shared" si="25"/>
        <v>#DIV/0!</v>
      </c>
      <c r="T220" s="64" t="e">
        <f t="shared" si="26"/>
        <v>#DIV/0!</v>
      </c>
      <c r="U220" s="68" t="e">
        <f t="shared" si="27"/>
        <v>#DIV/0!</v>
      </c>
    </row>
    <row r="221" spans="1:21" x14ac:dyDescent="0.2">
      <c r="A221" s="61" t="s">
        <v>244</v>
      </c>
      <c r="B221" s="62" t="s">
        <v>253</v>
      </c>
      <c r="C221" s="62" t="s">
        <v>246</v>
      </c>
      <c r="D221" s="62" t="s">
        <v>653</v>
      </c>
      <c r="E221" s="63" t="s">
        <v>304</v>
      </c>
      <c r="F221" s="62" t="s">
        <v>257</v>
      </c>
      <c r="G221" s="62" t="s">
        <v>207</v>
      </c>
      <c r="H221" s="62" t="s">
        <v>17</v>
      </c>
      <c r="I221" s="62" t="s">
        <v>157</v>
      </c>
      <c r="J221" s="62"/>
      <c r="K221" s="64">
        <v>63.5</v>
      </c>
      <c r="L221" s="64">
        <f t="shared" si="24"/>
        <v>28.637254901960784</v>
      </c>
      <c r="M221" s="65">
        <f>prodnorm84</f>
        <v>0</v>
      </c>
      <c r="N221" s="66">
        <f>dagwerk84</f>
        <v>0</v>
      </c>
      <c r="O221" s="62" t="s">
        <v>45</v>
      </c>
      <c r="P221" s="67">
        <f>uurtarief84</f>
        <v>0</v>
      </c>
      <c r="Q221" s="64" t="e">
        <f t="shared" si="28"/>
        <v>#DIV/0!</v>
      </c>
      <c r="R221" s="64" t="e">
        <f t="shared" si="29"/>
        <v>#DIV/0!</v>
      </c>
      <c r="S221" s="67" t="e">
        <f t="shared" si="25"/>
        <v>#DIV/0!</v>
      </c>
      <c r="T221" s="64" t="e">
        <f t="shared" si="26"/>
        <v>#DIV/0!</v>
      </c>
      <c r="U221" s="68" t="e">
        <f t="shared" si="27"/>
        <v>#DIV/0!</v>
      </c>
    </row>
    <row r="222" spans="1:21" x14ac:dyDescent="0.2">
      <c r="A222" s="61" t="s">
        <v>244</v>
      </c>
      <c r="B222" s="62" t="s">
        <v>253</v>
      </c>
      <c r="C222" s="62" t="s">
        <v>246</v>
      </c>
      <c r="D222" s="62" t="s">
        <v>654</v>
      </c>
      <c r="E222" s="63" t="s">
        <v>306</v>
      </c>
      <c r="F222" s="62" t="s">
        <v>289</v>
      </c>
      <c r="G222" s="62" t="s">
        <v>205</v>
      </c>
      <c r="H222" s="62" t="s">
        <v>22</v>
      </c>
      <c r="I222" s="62" t="s">
        <v>157</v>
      </c>
      <c r="J222" s="62"/>
      <c r="K222" s="64">
        <v>16.100000000000001</v>
      </c>
      <c r="L222" s="64">
        <f t="shared" si="24"/>
        <v>3.2200000000000006</v>
      </c>
      <c r="M222" s="65">
        <f>prodnorm83</f>
        <v>0</v>
      </c>
      <c r="N222" s="66">
        <f>dagwerk83</f>
        <v>0</v>
      </c>
      <c r="O222" s="62" t="s">
        <v>45</v>
      </c>
      <c r="P222" s="67">
        <f>uurtarief83</f>
        <v>0</v>
      </c>
      <c r="Q222" s="64" t="e">
        <f t="shared" si="28"/>
        <v>#DIV/0!</v>
      </c>
      <c r="R222" s="64" t="e">
        <f t="shared" si="29"/>
        <v>#DIV/0!</v>
      </c>
      <c r="S222" s="67" t="e">
        <f t="shared" si="25"/>
        <v>#DIV/0!</v>
      </c>
      <c r="T222" s="64" t="e">
        <f t="shared" si="26"/>
        <v>#DIV/0!</v>
      </c>
      <c r="U222" s="68" t="e">
        <f t="shared" si="27"/>
        <v>#DIV/0!</v>
      </c>
    </row>
    <row r="223" spans="1:21" x14ac:dyDescent="0.2">
      <c r="A223" s="61" t="s">
        <v>244</v>
      </c>
      <c r="B223" s="62" t="s">
        <v>253</v>
      </c>
      <c r="C223" s="62" t="s">
        <v>246</v>
      </c>
      <c r="D223" s="62" t="s">
        <v>655</v>
      </c>
      <c r="E223" s="63" t="s">
        <v>656</v>
      </c>
      <c r="F223" s="62" t="s">
        <v>257</v>
      </c>
      <c r="G223" s="62" t="s">
        <v>161</v>
      </c>
      <c r="H223" s="62" t="s">
        <v>16</v>
      </c>
      <c r="I223" s="62" t="s">
        <v>157</v>
      </c>
      <c r="J223" s="62"/>
      <c r="K223" s="64">
        <v>24.7</v>
      </c>
      <c r="L223" s="64">
        <f t="shared" si="24"/>
        <v>12.30156862745098</v>
      </c>
      <c r="M223" s="65">
        <f>prodnorm43</f>
        <v>0</v>
      </c>
      <c r="N223" s="66">
        <f>dagwerk43</f>
        <v>0</v>
      </c>
      <c r="O223" s="62" t="s">
        <v>45</v>
      </c>
      <c r="P223" s="67">
        <f>uurtarief43</f>
        <v>0</v>
      </c>
      <c r="Q223" s="64" t="e">
        <f t="shared" si="28"/>
        <v>#DIV/0!</v>
      </c>
      <c r="R223" s="64" t="e">
        <f t="shared" si="29"/>
        <v>#DIV/0!</v>
      </c>
      <c r="S223" s="67" t="e">
        <f t="shared" si="25"/>
        <v>#DIV/0!</v>
      </c>
      <c r="T223" s="64" t="e">
        <f t="shared" si="26"/>
        <v>#DIV/0!</v>
      </c>
      <c r="U223" s="68" t="e">
        <f t="shared" si="27"/>
        <v>#DIV/0!</v>
      </c>
    </row>
    <row r="224" spans="1:21" x14ac:dyDescent="0.2">
      <c r="A224" s="61" t="s">
        <v>244</v>
      </c>
      <c r="B224" s="62" t="s">
        <v>253</v>
      </c>
      <c r="C224" s="62" t="s">
        <v>246</v>
      </c>
      <c r="D224" s="62" t="s">
        <v>657</v>
      </c>
      <c r="E224" s="63" t="s">
        <v>658</v>
      </c>
      <c r="F224" s="62" t="s">
        <v>257</v>
      </c>
      <c r="G224" s="62" t="s">
        <v>161</v>
      </c>
      <c r="H224" s="62" t="s">
        <v>16</v>
      </c>
      <c r="I224" s="62" t="s">
        <v>157</v>
      </c>
      <c r="J224" s="62"/>
      <c r="K224" s="64">
        <v>35.200000000000003</v>
      </c>
      <c r="L224" s="64">
        <f t="shared" si="24"/>
        <v>17.530980392156863</v>
      </c>
      <c r="M224" s="65">
        <f>prodnorm43</f>
        <v>0</v>
      </c>
      <c r="N224" s="66">
        <f>dagwerk43</f>
        <v>0</v>
      </c>
      <c r="O224" s="62" t="s">
        <v>45</v>
      </c>
      <c r="P224" s="67">
        <f>uurtarief43</f>
        <v>0</v>
      </c>
      <c r="Q224" s="64" t="e">
        <f t="shared" si="28"/>
        <v>#DIV/0!</v>
      </c>
      <c r="R224" s="64" t="e">
        <f t="shared" si="29"/>
        <v>#DIV/0!</v>
      </c>
      <c r="S224" s="67" t="e">
        <f t="shared" si="25"/>
        <v>#DIV/0!</v>
      </c>
      <c r="T224" s="64" t="e">
        <f t="shared" si="26"/>
        <v>#DIV/0!</v>
      </c>
      <c r="U224" s="68" t="e">
        <f t="shared" si="27"/>
        <v>#DIV/0!</v>
      </c>
    </row>
    <row r="225" spans="1:21" ht="25.5" x14ac:dyDescent="0.2">
      <c r="A225" s="61" t="s">
        <v>244</v>
      </c>
      <c r="B225" s="62" t="s">
        <v>253</v>
      </c>
      <c r="C225" s="62" t="s">
        <v>246</v>
      </c>
      <c r="D225" s="62" t="s">
        <v>659</v>
      </c>
      <c r="E225" s="63" t="s">
        <v>660</v>
      </c>
      <c r="F225" s="62" t="s">
        <v>257</v>
      </c>
      <c r="G225" s="62" t="s">
        <v>161</v>
      </c>
      <c r="H225" s="62" t="s">
        <v>16</v>
      </c>
      <c r="I225" s="62" t="s">
        <v>157</v>
      </c>
      <c r="J225" s="62"/>
      <c r="K225" s="64">
        <v>29.6</v>
      </c>
      <c r="L225" s="64">
        <f t="shared" si="24"/>
        <v>14.741960784313726</v>
      </c>
      <c r="M225" s="65">
        <f>prodnorm43</f>
        <v>0</v>
      </c>
      <c r="N225" s="66">
        <f>dagwerk43</f>
        <v>0</v>
      </c>
      <c r="O225" s="62" t="s">
        <v>45</v>
      </c>
      <c r="P225" s="67">
        <f>uurtarief43</f>
        <v>0</v>
      </c>
      <c r="Q225" s="64" t="e">
        <f t="shared" si="28"/>
        <v>#DIV/0!</v>
      </c>
      <c r="R225" s="64" t="e">
        <f t="shared" si="29"/>
        <v>#DIV/0!</v>
      </c>
      <c r="S225" s="67" t="e">
        <f t="shared" si="25"/>
        <v>#DIV/0!</v>
      </c>
      <c r="T225" s="64" t="e">
        <f t="shared" si="26"/>
        <v>#DIV/0!</v>
      </c>
      <c r="U225" s="68" t="e">
        <f t="shared" si="27"/>
        <v>#DIV/0!</v>
      </c>
    </row>
    <row r="226" spans="1:21" x14ac:dyDescent="0.2">
      <c r="A226" s="61" t="s">
        <v>244</v>
      </c>
      <c r="B226" s="62" t="s">
        <v>253</v>
      </c>
      <c r="C226" s="62" t="s">
        <v>246</v>
      </c>
      <c r="D226" s="62" t="s">
        <v>661</v>
      </c>
      <c r="E226" s="63" t="s">
        <v>662</v>
      </c>
      <c r="F226" s="62" t="s">
        <v>257</v>
      </c>
      <c r="G226" s="62" t="s">
        <v>207</v>
      </c>
      <c r="H226" s="62" t="s">
        <v>17</v>
      </c>
      <c r="I226" s="62" t="s">
        <v>157</v>
      </c>
      <c r="J226" s="62"/>
      <c r="K226" s="64">
        <v>47.8</v>
      </c>
      <c r="L226" s="64">
        <f t="shared" si="24"/>
        <v>21.556862745098037</v>
      </c>
      <c r="M226" s="65">
        <f>prodnorm84</f>
        <v>0</v>
      </c>
      <c r="N226" s="66">
        <f>dagwerk84</f>
        <v>0</v>
      </c>
      <c r="O226" s="62" t="s">
        <v>45</v>
      </c>
      <c r="P226" s="67">
        <f>uurtarief84</f>
        <v>0</v>
      </c>
      <c r="Q226" s="64" t="e">
        <f t="shared" si="28"/>
        <v>#DIV/0!</v>
      </c>
      <c r="R226" s="64" t="e">
        <f t="shared" si="29"/>
        <v>#DIV/0!</v>
      </c>
      <c r="S226" s="67" t="e">
        <f t="shared" si="25"/>
        <v>#DIV/0!</v>
      </c>
      <c r="T226" s="64" t="e">
        <f t="shared" si="26"/>
        <v>#DIV/0!</v>
      </c>
      <c r="U226" s="68" t="e">
        <f t="shared" si="27"/>
        <v>#DIV/0!</v>
      </c>
    </row>
    <row r="227" spans="1:21" x14ac:dyDescent="0.2">
      <c r="A227" s="61" t="s">
        <v>244</v>
      </c>
      <c r="B227" s="62" t="s">
        <v>253</v>
      </c>
      <c r="C227" s="62" t="s">
        <v>246</v>
      </c>
      <c r="D227" s="62" t="s">
        <v>663</v>
      </c>
      <c r="E227" s="63" t="s">
        <v>664</v>
      </c>
      <c r="F227" s="62" t="s">
        <v>257</v>
      </c>
      <c r="G227" s="62" t="s">
        <v>161</v>
      </c>
      <c r="H227" s="62" t="s">
        <v>16</v>
      </c>
      <c r="I227" s="62" t="s">
        <v>157</v>
      </c>
      <c r="J227" s="62"/>
      <c r="K227" s="64">
        <v>22.7</v>
      </c>
      <c r="L227" s="64">
        <f t="shared" si="24"/>
        <v>11.305490196078431</v>
      </c>
      <c r="M227" s="65">
        <f>prodnorm43</f>
        <v>0</v>
      </c>
      <c r="N227" s="66">
        <f>dagwerk43</f>
        <v>0</v>
      </c>
      <c r="O227" s="62" t="s">
        <v>45</v>
      </c>
      <c r="P227" s="67">
        <f>uurtarief43</f>
        <v>0</v>
      </c>
      <c r="Q227" s="64" t="e">
        <f t="shared" si="28"/>
        <v>#DIV/0!</v>
      </c>
      <c r="R227" s="64" t="e">
        <f t="shared" si="29"/>
        <v>#DIV/0!</v>
      </c>
      <c r="S227" s="67" t="e">
        <f t="shared" si="25"/>
        <v>#DIV/0!</v>
      </c>
      <c r="T227" s="64" t="e">
        <f t="shared" si="26"/>
        <v>#DIV/0!</v>
      </c>
      <c r="U227" s="68" t="e">
        <f t="shared" si="27"/>
        <v>#DIV/0!</v>
      </c>
    </row>
    <row r="228" spans="1:21" ht="25.5" x14ac:dyDescent="0.2">
      <c r="A228" s="61" t="s">
        <v>244</v>
      </c>
      <c r="B228" s="62" t="s">
        <v>253</v>
      </c>
      <c r="C228" s="62" t="s">
        <v>246</v>
      </c>
      <c r="D228" s="62" t="s">
        <v>665</v>
      </c>
      <c r="E228" s="63" t="s">
        <v>666</v>
      </c>
      <c r="F228" s="62" t="s">
        <v>257</v>
      </c>
      <c r="G228" s="62" t="s">
        <v>161</v>
      </c>
      <c r="H228" s="62" t="s">
        <v>16</v>
      </c>
      <c r="I228" s="62" t="s">
        <v>157</v>
      </c>
      <c r="J228" s="62"/>
      <c r="K228" s="64">
        <v>40.5</v>
      </c>
      <c r="L228" s="64">
        <f t="shared" si="24"/>
        <v>20.170588235294119</v>
      </c>
      <c r="M228" s="65">
        <f>prodnorm43</f>
        <v>0</v>
      </c>
      <c r="N228" s="66">
        <f>dagwerk43</f>
        <v>0</v>
      </c>
      <c r="O228" s="62" t="s">
        <v>45</v>
      </c>
      <c r="P228" s="67">
        <f>uurtarief43</f>
        <v>0</v>
      </c>
      <c r="Q228" s="64" t="e">
        <f t="shared" si="28"/>
        <v>#DIV/0!</v>
      </c>
      <c r="R228" s="64" t="e">
        <f t="shared" si="29"/>
        <v>#DIV/0!</v>
      </c>
      <c r="S228" s="67" t="e">
        <f t="shared" si="25"/>
        <v>#DIV/0!</v>
      </c>
      <c r="T228" s="64" t="e">
        <f t="shared" si="26"/>
        <v>#DIV/0!</v>
      </c>
      <c r="U228" s="68" t="e">
        <f t="shared" si="27"/>
        <v>#DIV/0!</v>
      </c>
    </row>
    <row r="229" spans="1:21" x14ac:dyDescent="0.2">
      <c r="A229" s="61" t="s">
        <v>244</v>
      </c>
      <c r="B229" s="62" t="s">
        <v>253</v>
      </c>
      <c r="C229" s="62" t="s">
        <v>246</v>
      </c>
      <c r="D229" s="62" t="s">
        <v>667</v>
      </c>
      <c r="E229" s="63" t="s">
        <v>668</v>
      </c>
      <c r="F229" s="62" t="s">
        <v>257</v>
      </c>
      <c r="G229" s="62" t="s">
        <v>161</v>
      </c>
      <c r="H229" s="62" t="s">
        <v>16</v>
      </c>
      <c r="I229" s="62" t="s">
        <v>157</v>
      </c>
      <c r="J229" s="62"/>
      <c r="K229" s="64">
        <v>17.5</v>
      </c>
      <c r="L229" s="64">
        <f t="shared" si="24"/>
        <v>8.7156862745098032</v>
      </c>
      <c r="M229" s="65">
        <f>prodnorm43</f>
        <v>0</v>
      </c>
      <c r="N229" s="66">
        <f>dagwerk43</f>
        <v>0</v>
      </c>
      <c r="O229" s="62" t="s">
        <v>45</v>
      </c>
      <c r="P229" s="67">
        <f>uurtarief43</f>
        <v>0</v>
      </c>
      <c r="Q229" s="64" t="e">
        <f t="shared" si="28"/>
        <v>#DIV/0!</v>
      </c>
      <c r="R229" s="64" t="e">
        <f t="shared" si="29"/>
        <v>#DIV/0!</v>
      </c>
      <c r="S229" s="67" t="e">
        <f t="shared" si="25"/>
        <v>#DIV/0!</v>
      </c>
      <c r="T229" s="64" t="e">
        <f t="shared" si="26"/>
        <v>#DIV/0!</v>
      </c>
      <c r="U229" s="68" t="e">
        <f t="shared" si="27"/>
        <v>#DIV/0!</v>
      </c>
    </row>
    <row r="230" spans="1:21" ht="25.5" x14ac:dyDescent="0.2">
      <c r="A230" s="61" t="s">
        <v>244</v>
      </c>
      <c r="B230" s="62" t="s">
        <v>253</v>
      </c>
      <c r="C230" s="62" t="s">
        <v>246</v>
      </c>
      <c r="D230" s="62" t="s">
        <v>669</v>
      </c>
      <c r="E230" s="63" t="s">
        <v>666</v>
      </c>
      <c r="F230" s="62" t="s">
        <v>257</v>
      </c>
      <c r="G230" s="62" t="s">
        <v>161</v>
      </c>
      <c r="H230" s="62" t="s">
        <v>16</v>
      </c>
      <c r="I230" s="62" t="s">
        <v>157</v>
      </c>
      <c r="J230" s="62"/>
      <c r="K230" s="64">
        <v>23</v>
      </c>
      <c r="L230" s="64">
        <f t="shared" si="24"/>
        <v>11.454901960784314</v>
      </c>
      <c r="M230" s="65">
        <f>prodnorm43</f>
        <v>0</v>
      </c>
      <c r="N230" s="66">
        <f>dagwerk43</f>
        <v>0</v>
      </c>
      <c r="O230" s="62" t="s">
        <v>45</v>
      </c>
      <c r="P230" s="67">
        <f>uurtarief43</f>
        <v>0</v>
      </c>
      <c r="Q230" s="64" t="e">
        <f t="shared" si="28"/>
        <v>#DIV/0!</v>
      </c>
      <c r="R230" s="64" t="e">
        <f t="shared" si="29"/>
        <v>#DIV/0!</v>
      </c>
      <c r="S230" s="67" t="e">
        <f t="shared" si="25"/>
        <v>#DIV/0!</v>
      </c>
      <c r="T230" s="64" t="e">
        <f t="shared" si="26"/>
        <v>#DIV/0!</v>
      </c>
      <c r="U230" s="68" t="e">
        <f t="shared" si="27"/>
        <v>#DIV/0!</v>
      </c>
    </row>
    <row r="231" spans="1:21" x14ac:dyDescent="0.2">
      <c r="A231" s="61" t="s">
        <v>244</v>
      </c>
      <c r="B231" s="62" t="s">
        <v>253</v>
      </c>
      <c r="C231" s="62" t="s">
        <v>246</v>
      </c>
      <c r="D231" s="62" t="s">
        <v>670</v>
      </c>
      <c r="E231" s="63" t="s">
        <v>671</v>
      </c>
      <c r="F231" s="62" t="s">
        <v>257</v>
      </c>
      <c r="G231" s="62" t="s">
        <v>187</v>
      </c>
      <c r="H231" s="62" t="s">
        <v>11</v>
      </c>
      <c r="I231" s="62" t="s">
        <v>157</v>
      </c>
      <c r="J231" s="62"/>
      <c r="K231" s="64">
        <v>43</v>
      </c>
      <c r="L231" s="64">
        <f t="shared" si="24"/>
        <v>43</v>
      </c>
      <c r="M231" s="65">
        <f>prodnorm68</f>
        <v>0</v>
      </c>
      <c r="N231" s="66">
        <f>dagwerk68</f>
        <v>0</v>
      </c>
      <c r="O231" s="62" t="s">
        <v>45</v>
      </c>
      <c r="P231" s="67">
        <f>uurtarief68</f>
        <v>0</v>
      </c>
      <c r="Q231" s="64" t="e">
        <f t="shared" si="28"/>
        <v>#DIV/0!</v>
      </c>
      <c r="R231" s="64" t="e">
        <f t="shared" si="29"/>
        <v>#DIV/0!</v>
      </c>
      <c r="S231" s="67" t="e">
        <f t="shared" si="25"/>
        <v>#DIV/0!</v>
      </c>
      <c r="T231" s="64" t="e">
        <f t="shared" si="26"/>
        <v>#DIV/0!</v>
      </c>
      <c r="U231" s="68" t="e">
        <f t="shared" si="27"/>
        <v>#DIV/0!</v>
      </c>
    </row>
    <row r="232" spans="1:21" x14ac:dyDescent="0.2">
      <c r="A232" s="61" t="s">
        <v>244</v>
      </c>
      <c r="B232" s="62" t="s">
        <v>253</v>
      </c>
      <c r="C232" s="62" t="s">
        <v>246</v>
      </c>
      <c r="D232" s="62" t="s">
        <v>672</v>
      </c>
      <c r="E232" s="63" t="s">
        <v>453</v>
      </c>
      <c r="F232" s="62" t="s">
        <v>257</v>
      </c>
      <c r="G232" s="62" t="s">
        <v>205</v>
      </c>
      <c r="H232" s="62" t="s">
        <v>23</v>
      </c>
      <c r="I232" s="62" t="s">
        <v>157</v>
      </c>
      <c r="J232" s="62"/>
      <c r="K232" s="64">
        <v>15.3</v>
      </c>
      <c r="L232" s="64">
        <f t="shared" si="24"/>
        <v>2.7600000000000002</v>
      </c>
      <c r="M232" s="65">
        <f>prodnorm82</f>
        <v>0</v>
      </c>
      <c r="N232" s="66">
        <f>dagwerk82</f>
        <v>0</v>
      </c>
      <c r="O232" s="62" t="s">
        <v>45</v>
      </c>
      <c r="P232" s="67">
        <f>uurtarief82</f>
        <v>0</v>
      </c>
      <c r="Q232" s="64" t="e">
        <f t="shared" si="28"/>
        <v>#DIV/0!</v>
      </c>
      <c r="R232" s="64" t="e">
        <f t="shared" si="29"/>
        <v>#DIV/0!</v>
      </c>
      <c r="S232" s="67" t="e">
        <f t="shared" si="25"/>
        <v>#DIV/0!</v>
      </c>
      <c r="T232" s="64" t="e">
        <f t="shared" si="26"/>
        <v>#DIV/0!</v>
      </c>
      <c r="U232" s="68" t="e">
        <f t="shared" si="27"/>
        <v>#DIV/0!</v>
      </c>
    </row>
    <row r="233" spans="1:21" x14ac:dyDescent="0.2">
      <c r="A233" s="61" t="s">
        <v>244</v>
      </c>
      <c r="B233" s="62" t="s">
        <v>253</v>
      </c>
      <c r="C233" s="62" t="s">
        <v>246</v>
      </c>
      <c r="D233" s="62" t="s">
        <v>673</v>
      </c>
      <c r="E233" s="63" t="s">
        <v>674</v>
      </c>
      <c r="F233" s="62" t="s">
        <v>387</v>
      </c>
      <c r="G233" s="62" t="s">
        <v>161</v>
      </c>
      <c r="H233" s="62" t="s">
        <v>16</v>
      </c>
      <c r="I233" s="62" t="s">
        <v>157</v>
      </c>
      <c r="J233" s="62"/>
      <c r="K233" s="64">
        <v>24</v>
      </c>
      <c r="L233" s="64">
        <f t="shared" si="24"/>
        <v>11.952941176470588</v>
      </c>
      <c r="M233" s="65">
        <f>prodnorm43</f>
        <v>0</v>
      </c>
      <c r="N233" s="66">
        <f>dagwerk43</f>
        <v>0</v>
      </c>
      <c r="O233" s="62" t="s">
        <v>45</v>
      </c>
      <c r="P233" s="67">
        <f>uurtarief43</f>
        <v>0</v>
      </c>
      <c r="Q233" s="64" t="e">
        <f t="shared" si="28"/>
        <v>#DIV/0!</v>
      </c>
      <c r="R233" s="64" t="e">
        <f t="shared" si="29"/>
        <v>#DIV/0!</v>
      </c>
      <c r="S233" s="67" t="e">
        <f t="shared" si="25"/>
        <v>#DIV/0!</v>
      </c>
      <c r="T233" s="64" t="e">
        <f t="shared" si="26"/>
        <v>#DIV/0!</v>
      </c>
      <c r="U233" s="68" t="e">
        <f t="shared" si="27"/>
        <v>#DIV/0!</v>
      </c>
    </row>
    <row r="234" spans="1:21" x14ac:dyDescent="0.2">
      <c r="A234" s="61" t="s">
        <v>244</v>
      </c>
      <c r="B234" s="62" t="s">
        <v>253</v>
      </c>
      <c r="C234" s="62" t="s">
        <v>246</v>
      </c>
      <c r="D234" s="62" t="s">
        <v>675</v>
      </c>
      <c r="E234" s="63" t="s">
        <v>676</v>
      </c>
      <c r="F234" s="62" t="s">
        <v>387</v>
      </c>
      <c r="G234" s="62" t="s">
        <v>161</v>
      </c>
      <c r="H234" s="62" t="s">
        <v>16</v>
      </c>
      <c r="I234" s="62" t="s">
        <v>157</v>
      </c>
      <c r="J234" s="62"/>
      <c r="K234" s="64">
        <v>24.6</v>
      </c>
      <c r="L234" s="64">
        <f t="shared" si="24"/>
        <v>12.251764705882353</v>
      </c>
      <c r="M234" s="65">
        <f>prodnorm43</f>
        <v>0</v>
      </c>
      <c r="N234" s="66">
        <f>dagwerk43</f>
        <v>0</v>
      </c>
      <c r="O234" s="62" t="s">
        <v>45</v>
      </c>
      <c r="P234" s="67">
        <f>uurtarief43</f>
        <v>0</v>
      </c>
      <c r="Q234" s="64" t="e">
        <f t="shared" si="28"/>
        <v>#DIV/0!</v>
      </c>
      <c r="R234" s="64" t="e">
        <f t="shared" si="29"/>
        <v>#DIV/0!</v>
      </c>
      <c r="S234" s="67" t="e">
        <f t="shared" si="25"/>
        <v>#DIV/0!</v>
      </c>
      <c r="T234" s="64" t="e">
        <f t="shared" si="26"/>
        <v>#DIV/0!</v>
      </c>
      <c r="U234" s="68" t="e">
        <f t="shared" si="27"/>
        <v>#DIV/0!</v>
      </c>
    </row>
    <row r="235" spans="1:21" x14ac:dyDescent="0.2">
      <c r="A235" s="61" t="s">
        <v>244</v>
      </c>
      <c r="B235" s="62" t="s">
        <v>253</v>
      </c>
      <c r="C235" s="62" t="s">
        <v>246</v>
      </c>
      <c r="D235" s="62" t="s">
        <v>677</v>
      </c>
      <c r="E235" s="63" t="s">
        <v>678</v>
      </c>
      <c r="F235" s="62" t="s">
        <v>594</v>
      </c>
      <c r="G235" s="62" t="s">
        <v>193</v>
      </c>
      <c r="H235" s="62" t="s">
        <v>11</v>
      </c>
      <c r="I235" s="62" t="s">
        <v>157</v>
      </c>
      <c r="J235" s="62"/>
      <c r="K235" s="64">
        <v>23.2</v>
      </c>
      <c r="L235" s="64">
        <f t="shared" si="24"/>
        <v>23.2</v>
      </c>
      <c r="M235" s="65">
        <f>prodnorm73</f>
        <v>0</v>
      </c>
      <c r="N235" s="66">
        <f>dagwerk73</f>
        <v>0</v>
      </c>
      <c r="O235" s="62" t="s">
        <v>45</v>
      </c>
      <c r="P235" s="67">
        <f>uurtarief73</f>
        <v>0</v>
      </c>
      <c r="Q235" s="64" t="e">
        <f t="shared" si="28"/>
        <v>#DIV/0!</v>
      </c>
      <c r="R235" s="64" t="e">
        <f t="shared" si="29"/>
        <v>#DIV/0!</v>
      </c>
      <c r="S235" s="67" t="e">
        <f t="shared" si="25"/>
        <v>#DIV/0!</v>
      </c>
      <c r="T235" s="64" t="e">
        <f t="shared" si="26"/>
        <v>#DIV/0!</v>
      </c>
      <c r="U235" s="68" t="e">
        <f t="shared" si="27"/>
        <v>#DIV/0!</v>
      </c>
    </row>
    <row r="236" spans="1:21" ht="25.5" x14ac:dyDescent="0.2">
      <c r="A236" s="61" t="s">
        <v>244</v>
      </c>
      <c r="B236" s="62" t="s">
        <v>253</v>
      </c>
      <c r="C236" s="62" t="s">
        <v>246</v>
      </c>
      <c r="D236" s="62" t="s">
        <v>679</v>
      </c>
      <c r="E236" s="63" t="s">
        <v>680</v>
      </c>
      <c r="F236" s="62" t="s">
        <v>257</v>
      </c>
      <c r="G236" s="62" t="s">
        <v>205</v>
      </c>
      <c r="H236" s="62" t="s">
        <v>22</v>
      </c>
      <c r="I236" s="62" t="s">
        <v>157</v>
      </c>
      <c r="J236" s="62"/>
      <c r="K236" s="64">
        <v>18.8</v>
      </c>
      <c r="L236" s="64">
        <f t="shared" si="24"/>
        <v>3.7600000000000002</v>
      </c>
      <c r="M236" s="65">
        <f>prodnorm83</f>
        <v>0</v>
      </c>
      <c r="N236" s="66">
        <f>dagwerk83</f>
        <v>0</v>
      </c>
      <c r="O236" s="62" t="s">
        <v>45</v>
      </c>
      <c r="P236" s="67">
        <f>uurtarief83</f>
        <v>0</v>
      </c>
      <c r="Q236" s="64" t="e">
        <f t="shared" si="28"/>
        <v>#DIV/0!</v>
      </c>
      <c r="R236" s="64" t="e">
        <f t="shared" si="29"/>
        <v>#DIV/0!</v>
      </c>
      <c r="S236" s="67" t="e">
        <f t="shared" si="25"/>
        <v>#DIV/0!</v>
      </c>
      <c r="T236" s="64" t="e">
        <f t="shared" si="26"/>
        <v>#DIV/0!</v>
      </c>
      <c r="U236" s="68" t="e">
        <f t="shared" si="27"/>
        <v>#DIV/0!</v>
      </c>
    </row>
    <row r="237" spans="1:21" x14ac:dyDescent="0.2">
      <c r="A237" s="61" t="s">
        <v>244</v>
      </c>
      <c r="B237" s="62" t="s">
        <v>253</v>
      </c>
      <c r="C237" s="62" t="s">
        <v>681</v>
      </c>
      <c r="D237" s="62" t="s">
        <v>682</v>
      </c>
      <c r="E237" s="63" t="s">
        <v>683</v>
      </c>
      <c r="F237" s="62" t="s">
        <v>257</v>
      </c>
      <c r="G237" s="62" t="s">
        <v>207</v>
      </c>
      <c r="H237" s="62" t="s">
        <v>17</v>
      </c>
      <c r="I237" s="62" t="s">
        <v>157</v>
      </c>
      <c r="J237" s="62"/>
      <c r="K237" s="64">
        <v>46</v>
      </c>
      <c r="L237" s="64">
        <f t="shared" si="24"/>
        <v>20.745098039215687</v>
      </c>
      <c r="M237" s="65">
        <f>prodnorm84</f>
        <v>0</v>
      </c>
      <c r="N237" s="66">
        <f>dagwerk84</f>
        <v>0</v>
      </c>
      <c r="O237" s="62" t="s">
        <v>45</v>
      </c>
      <c r="P237" s="67">
        <f>uurtarief84</f>
        <v>0</v>
      </c>
      <c r="Q237" s="64" t="e">
        <f t="shared" si="28"/>
        <v>#DIV/0!</v>
      </c>
      <c r="R237" s="64" t="e">
        <f t="shared" si="29"/>
        <v>#DIV/0!</v>
      </c>
      <c r="S237" s="67" t="e">
        <f t="shared" si="25"/>
        <v>#DIV/0!</v>
      </c>
      <c r="T237" s="64" t="e">
        <f t="shared" si="26"/>
        <v>#DIV/0!</v>
      </c>
      <c r="U237" s="68" t="e">
        <f t="shared" si="27"/>
        <v>#DIV/0!</v>
      </c>
    </row>
    <row r="238" spans="1:21" x14ac:dyDescent="0.2">
      <c r="A238" s="61" t="s">
        <v>244</v>
      </c>
      <c r="B238" s="62" t="s">
        <v>253</v>
      </c>
      <c r="C238" s="62" t="s">
        <v>681</v>
      </c>
      <c r="D238" s="62" t="s">
        <v>684</v>
      </c>
      <c r="E238" s="63" t="s">
        <v>685</v>
      </c>
      <c r="F238" s="62" t="s">
        <v>495</v>
      </c>
      <c r="G238" s="62" t="s">
        <v>181</v>
      </c>
      <c r="H238" s="62" t="s">
        <v>17</v>
      </c>
      <c r="I238" s="62" t="s">
        <v>157</v>
      </c>
      <c r="J238" s="62"/>
      <c r="K238" s="64">
        <v>249</v>
      </c>
      <c r="L238" s="64">
        <f t="shared" si="24"/>
        <v>112.29411764705883</v>
      </c>
      <c r="M238" s="65">
        <f>prodnorm60</f>
        <v>0</v>
      </c>
      <c r="N238" s="66">
        <f>dagwerk60</f>
        <v>0</v>
      </c>
      <c r="O238" s="62" t="s">
        <v>45</v>
      </c>
      <c r="P238" s="67">
        <f>uurtarief60</f>
        <v>0</v>
      </c>
      <c r="Q238" s="64" t="e">
        <f t="shared" si="28"/>
        <v>#DIV/0!</v>
      </c>
      <c r="R238" s="64" t="e">
        <f t="shared" si="29"/>
        <v>#DIV/0!</v>
      </c>
      <c r="S238" s="67" t="e">
        <f t="shared" si="25"/>
        <v>#DIV/0!</v>
      </c>
      <c r="T238" s="64" t="e">
        <f t="shared" si="26"/>
        <v>#DIV/0!</v>
      </c>
      <c r="U238" s="68" t="e">
        <f t="shared" si="27"/>
        <v>#DIV/0!</v>
      </c>
    </row>
    <row r="239" spans="1:21" x14ac:dyDescent="0.2">
      <c r="A239" s="61" t="s">
        <v>244</v>
      </c>
      <c r="B239" s="62" t="s">
        <v>253</v>
      </c>
      <c r="C239" s="62" t="s">
        <v>681</v>
      </c>
      <c r="D239" s="62" t="s">
        <v>686</v>
      </c>
      <c r="E239" s="63" t="s">
        <v>687</v>
      </c>
      <c r="F239" s="62" t="s">
        <v>257</v>
      </c>
      <c r="G239" s="62" t="s">
        <v>161</v>
      </c>
      <c r="H239" s="62" t="s">
        <v>12</v>
      </c>
      <c r="I239" s="62" t="s">
        <v>157</v>
      </c>
      <c r="J239" s="62"/>
      <c r="K239" s="64">
        <v>30</v>
      </c>
      <c r="L239" s="64">
        <f t="shared" si="24"/>
        <v>27.058823529411764</v>
      </c>
      <c r="M239" s="65">
        <f>prodnorm44</f>
        <v>0</v>
      </c>
      <c r="N239" s="66">
        <f>dagwerk44</f>
        <v>0</v>
      </c>
      <c r="O239" s="62" t="s">
        <v>45</v>
      </c>
      <c r="P239" s="67">
        <f>uurtarief44</f>
        <v>0</v>
      </c>
      <c r="Q239" s="64" t="e">
        <f t="shared" si="28"/>
        <v>#DIV/0!</v>
      </c>
      <c r="R239" s="64" t="e">
        <f t="shared" si="29"/>
        <v>#DIV/0!</v>
      </c>
      <c r="S239" s="67" t="e">
        <f t="shared" si="25"/>
        <v>#DIV/0!</v>
      </c>
      <c r="T239" s="64" t="e">
        <f t="shared" si="26"/>
        <v>#DIV/0!</v>
      </c>
      <c r="U239" s="68" t="e">
        <f t="shared" si="27"/>
        <v>#DIV/0!</v>
      </c>
    </row>
    <row r="240" spans="1:21" ht="25.5" x14ac:dyDescent="0.2">
      <c r="A240" s="61" t="s">
        <v>244</v>
      </c>
      <c r="B240" s="62" t="s">
        <v>253</v>
      </c>
      <c r="C240" s="62" t="s">
        <v>681</v>
      </c>
      <c r="D240" s="62" t="s">
        <v>688</v>
      </c>
      <c r="E240" s="63" t="s">
        <v>689</v>
      </c>
      <c r="F240" s="62" t="s">
        <v>249</v>
      </c>
      <c r="G240" s="62" t="s">
        <v>169</v>
      </c>
      <c r="H240" s="62" t="s">
        <v>12</v>
      </c>
      <c r="I240" s="62" t="s">
        <v>157</v>
      </c>
      <c r="J240" s="62"/>
      <c r="K240" s="64">
        <v>2.2999999999999998</v>
      </c>
      <c r="L240" s="64">
        <f t="shared" si="24"/>
        <v>2.0745098039215684</v>
      </c>
      <c r="M240" s="65">
        <f>prodnorm54</f>
        <v>0</v>
      </c>
      <c r="N240" s="66">
        <f>dagwerk54</f>
        <v>0</v>
      </c>
      <c r="O240" s="62" t="s">
        <v>45</v>
      </c>
      <c r="P240" s="67">
        <f>uurtarief54</f>
        <v>0</v>
      </c>
      <c r="Q240" s="64" t="e">
        <f t="shared" si="28"/>
        <v>#DIV/0!</v>
      </c>
      <c r="R240" s="64" t="e">
        <f t="shared" si="29"/>
        <v>#DIV/0!</v>
      </c>
      <c r="S240" s="67" t="e">
        <f t="shared" si="25"/>
        <v>#DIV/0!</v>
      </c>
      <c r="T240" s="64" t="e">
        <f t="shared" si="26"/>
        <v>#DIV/0!</v>
      </c>
      <c r="U240" s="68" t="e">
        <f t="shared" si="27"/>
        <v>#DIV/0!</v>
      </c>
    </row>
    <row r="241" spans="1:21" x14ac:dyDescent="0.2">
      <c r="A241" s="61" t="s">
        <v>244</v>
      </c>
      <c r="B241" s="62" t="s">
        <v>253</v>
      </c>
      <c r="C241" s="62" t="s">
        <v>681</v>
      </c>
      <c r="D241" s="62" t="s">
        <v>690</v>
      </c>
      <c r="E241" s="63" t="s">
        <v>691</v>
      </c>
      <c r="F241" s="62" t="s">
        <v>257</v>
      </c>
      <c r="G241" s="62" t="s">
        <v>207</v>
      </c>
      <c r="H241" s="62" t="s">
        <v>17</v>
      </c>
      <c r="I241" s="62" t="s">
        <v>157</v>
      </c>
      <c r="J241" s="62"/>
      <c r="K241" s="64">
        <v>11</v>
      </c>
      <c r="L241" s="64">
        <f t="shared" si="24"/>
        <v>4.9607843137254903</v>
      </c>
      <c r="M241" s="65">
        <f>prodnorm84</f>
        <v>0</v>
      </c>
      <c r="N241" s="66">
        <f>dagwerk84</f>
        <v>0</v>
      </c>
      <c r="O241" s="62" t="s">
        <v>45</v>
      </c>
      <c r="P241" s="67">
        <f>uurtarief84</f>
        <v>0</v>
      </c>
      <c r="Q241" s="64" t="e">
        <f t="shared" si="28"/>
        <v>#DIV/0!</v>
      </c>
      <c r="R241" s="64" t="e">
        <f t="shared" si="29"/>
        <v>#DIV/0!</v>
      </c>
      <c r="S241" s="67" t="e">
        <f t="shared" si="25"/>
        <v>#DIV/0!</v>
      </c>
      <c r="T241" s="64" t="e">
        <f t="shared" si="26"/>
        <v>#DIV/0!</v>
      </c>
      <c r="U241" s="68" t="e">
        <f t="shared" si="27"/>
        <v>#DIV/0!</v>
      </c>
    </row>
    <row r="242" spans="1:21" x14ac:dyDescent="0.2">
      <c r="A242" s="61" t="s">
        <v>244</v>
      </c>
      <c r="B242" s="62" t="s">
        <v>253</v>
      </c>
      <c r="C242" s="62" t="s">
        <v>681</v>
      </c>
      <c r="D242" s="62" t="s">
        <v>692</v>
      </c>
      <c r="E242" s="63" t="s">
        <v>693</v>
      </c>
      <c r="F242" s="62" t="s">
        <v>257</v>
      </c>
      <c r="G242" s="62" t="s">
        <v>205</v>
      </c>
      <c r="H242" s="62" t="s">
        <v>22</v>
      </c>
      <c r="I242" s="62" t="s">
        <v>157</v>
      </c>
      <c r="J242" s="62"/>
      <c r="K242" s="64">
        <v>28</v>
      </c>
      <c r="L242" s="64">
        <f t="shared" si="24"/>
        <v>5.6000000000000005</v>
      </c>
      <c r="M242" s="65">
        <f>prodnorm83</f>
        <v>0</v>
      </c>
      <c r="N242" s="66">
        <f>dagwerk83</f>
        <v>0</v>
      </c>
      <c r="O242" s="62" t="s">
        <v>45</v>
      </c>
      <c r="P242" s="67">
        <f>uurtarief83</f>
        <v>0</v>
      </c>
      <c r="Q242" s="64" t="e">
        <f t="shared" si="28"/>
        <v>#DIV/0!</v>
      </c>
      <c r="R242" s="64" t="e">
        <f t="shared" si="29"/>
        <v>#DIV/0!</v>
      </c>
      <c r="S242" s="67" t="e">
        <f t="shared" si="25"/>
        <v>#DIV/0!</v>
      </c>
      <c r="T242" s="64" t="e">
        <f t="shared" si="26"/>
        <v>#DIV/0!</v>
      </c>
      <c r="U242" s="68" t="e">
        <f t="shared" si="27"/>
        <v>#DIV/0!</v>
      </c>
    </row>
    <row r="243" spans="1:21" x14ac:dyDescent="0.2">
      <c r="A243" s="61" t="s">
        <v>244</v>
      </c>
      <c r="B243" s="62" t="s">
        <v>253</v>
      </c>
      <c r="C243" s="62" t="s">
        <v>681</v>
      </c>
      <c r="D243" s="62" t="s">
        <v>694</v>
      </c>
      <c r="E243" s="63" t="s">
        <v>695</v>
      </c>
      <c r="F243" s="62" t="s">
        <v>257</v>
      </c>
      <c r="G243" s="62" t="s">
        <v>187</v>
      </c>
      <c r="H243" s="62" t="s">
        <v>12</v>
      </c>
      <c r="I243" s="62" t="s">
        <v>157</v>
      </c>
      <c r="J243" s="62"/>
      <c r="K243" s="64">
        <v>21</v>
      </c>
      <c r="L243" s="64">
        <f t="shared" si="24"/>
        <v>18.941176470588236</v>
      </c>
      <c r="M243" s="65">
        <f>prodnorm67</f>
        <v>0</v>
      </c>
      <c r="N243" s="66">
        <f>dagwerk67</f>
        <v>0</v>
      </c>
      <c r="O243" s="62" t="s">
        <v>45</v>
      </c>
      <c r="P243" s="67">
        <f>uurtarief67</f>
        <v>0</v>
      </c>
      <c r="Q243" s="64" t="e">
        <f t="shared" si="28"/>
        <v>#DIV/0!</v>
      </c>
      <c r="R243" s="64" t="e">
        <f t="shared" si="29"/>
        <v>#DIV/0!</v>
      </c>
      <c r="S243" s="67" t="e">
        <f t="shared" si="25"/>
        <v>#DIV/0!</v>
      </c>
      <c r="T243" s="64" t="e">
        <f t="shared" si="26"/>
        <v>#DIV/0!</v>
      </c>
      <c r="U243" s="68" t="e">
        <f t="shared" si="27"/>
        <v>#DIV/0!</v>
      </c>
    </row>
    <row r="244" spans="1:21" x14ac:dyDescent="0.2">
      <c r="A244" s="61" t="s">
        <v>244</v>
      </c>
      <c r="B244" s="62" t="s">
        <v>253</v>
      </c>
      <c r="C244" s="62" t="s">
        <v>681</v>
      </c>
      <c r="D244" s="62" t="s">
        <v>696</v>
      </c>
      <c r="E244" s="63" t="s">
        <v>697</v>
      </c>
      <c r="F244" s="62" t="s">
        <v>257</v>
      </c>
      <c r="G244" s="62" t="s">
        <v>161</v>
      </c>
      <c r="H244" s="62" t="s">
        <v>17</v>
      </c>
      <c r="I244" s="62" t="s">
        <v>157</v>
      </c>
      <c r="J244" s="62"/>
      <c r="K244" s="64">
        <v>21</v>
      </c>
      <c r="L244" s="64">
        <f t="shared" si="24"/>
        <v>9.4705882352941178</v>
      </c>
      <c r="M244" s="65">
        <f t="shared" ref="M244:M251" si="30">prodnorm42</f>
        <v>0</v>
      </c>
      <c r="N244" s="66">
        <f t="shared" ref="N244:N251" si="31">dagwerk42</f>
        <v>0</v>
      </c>
      <c r="O244" s="62" t="s">
        <v>45</v>
      </c>
      <c r="P244" s="67">
        <f t="shared" ref="P244:P251" si="32">uurtarief42</f>
        <v>0</v>
      </c>
      <c r="Q244" s="64" t="e">
        <f t="shared" si="28"/>
        <v>#DIV/0!</v>
      </c>
      <c r="R244" s="64" t="e">
        <f t="shared" si="29"/>
        <v>#DIV/0!</v>
      </c>
      <c r="S244" s="67" t="e">
        <f t="shared" si="25"/>
        <v>#DIV/0!</v>
      </c>
      <c r="T244" s="64" t="e">
        <f t="shared" si="26"/>
        <v>#DIV/0!</v>
      </c>
      <c r="U244" s="68" t="e">
        <f t="shared" si="27"/>
        <v>#DIV/0!</v>
      </c>
    </row>
    <row r="245" spans="1:21" x14ac:dyDescent="0.2">
      <c r="A245" s="61" t="s">
        <v>244</v>
      </c>
      <c r="B245" s="62" t="s">
        <v>253</v>
      </c>
      <c r="C245" s="62" t="s">
        <v>681</v>
      </c>
      <c r="D245" s="62" t="s">
        <v>698</v>
      </c>
      <c r="E245" s="63" t="s">
        <v>699</v>
      </c>
      <c r="F245" s="62" t="s">
        <v>257</v>
      </c>
      <c r="G245" s="62" t="s">
        <v>161</v>
      </c>
      <c r="H245" s="62" t="s">
        <v>17</v>
      </c>
      <c r="I245" s="62" t="s">
        <v>157</v>
      </c>
      <c r="J245" s="62"/>
      <c r="K245" s="64">
        <v>37.299999999999997</v>
      </c>
      <c r="L245" s="64">
        <f t="shared" si="24"/>
        <v>16.821568627450979</v>
      </c>
      <c r="M245" s="65">
        <f t="shared" si="30"/>
        <v>0</v>
      </c>
      <c r="N245" s="66">
        <f t="shared" si="31"/>
        <v>0</v>
      </c>
      <c r="O245" s="62" t="s">
        <v>45</v>
      </c>
      <c r="P245" s="67">
        <f t="shared" si="32"/>
        <v>0</v>
      </c>
      <c r="Q245" s="64" t="e">
        <f t="shared" si="28"/>
        <v>#DIV/0!</v>
      </c>
      <c r="R245" s="64" t="e">
        <f t="shared" si="29"/>
        <v>#DIV/0!</v>
      </c>
      <c r="S245" s="67" t="e">
        <f t="shared" si="25"/>
        <v>#DIV/0!</v>
      </c>
      <c r="T245" s="64" t="e">
        <f t="shared" si="26"/>
        <v>#DIV/0!</v>
      </c>
      <c r="U245" s="68" t="e">
        <f t="shared" si="27"/>
        <v>#DIV/0!</v>
      </c>
    </row>
    <row r="246" spans="1:21" ht="25.5" x14ac:dyDescent="0.2">
      <c r="A246" s="61" t="s">
        <v>244</v>
      </c>
      <c r="B246" s="62" t="s">
        <v>253</v>
      </c>
      <c r="C246" s="62" t="s">
        <v>681</v>
      </c>
      <c r="D246" s="62" t="s">
        <v>700</v>
      </c>
      <c r="E246" s="63" t="s">
        <v>701</v>
      </c>
      <c r="F246" s="62" t="s">
        <v>257</v>
      </c>
      <c r="G246" s="62" t="s">
        <v>161</v>
      </c>
      <c r="H246" s="62" t="s">
        <v>17</v>
      </c>
      <c r="I246" s="62" t="s">
        <v>157</v>
      </c>
      <c r="J246" s="62"/>
      <c r="K246" s="64">
        <v>14.1</v>
      </c>
      <c r="L246" s="64">
        <f t="shared" si="24"/>
        <v>6.3588235294117643</v>
      </c>
      <c r="M246" s="65">
        <f t="shared" si="30"/>
        <v>0</v>
      </c>
      <c r="N246" s="66">
        <f t="shared" si="31"/>
        <v>0</v>
      </c>
      <c r="O246" s="62" t="s">
        <v>45</v>
      </c>
      <c r="P246" s="67">
        <f t="shared" si="32"/>
        <v>0</v>
      </c>
      <c r="Q246" s="64" t="e">
        <f t="shared" si="28"/>
        <v>#DIV/0!</v>
      </c>
      <c r="R246" s="64" t="e">
        <f t="shared" si="29"/>
        <v>#DIV/0!</v>
      </c>
      <c r="S246" s="67" t="e">
        <f t="shared" si="25"/>
        <v>#DIV/0!</v>
      </c>
      <c r="T246" s="64" t="e">
        <f t="shared" si="26"/>
        <v>#DIV/0!</v>
      </c>
      <c r="U246" s="68" t="e">
        <f t="shared" si="27"/>
        <v>#DIV/0!</v>
      </c>
    </row>
    <row r="247" spans="1:21" x14ac:dyDescent="0.2">
      <c r="A247" s="61" t="s">
        <v>244</v>
      </c>
      <c r="B247" s="62" t="s">
        <v>253</v>
      </c>
      <c r="C247" s="62" t="s">
        <v>681</v>
      </c>
      <c r="D247" s="62" t="s">
        <v>702</v>
      </c>
      <c r="E247" s="63" t="s">
        <v>703</v>
      </c>
      <c r="F247" s="62" t="s">
        <v>257</v>
      </c>
      <c r="G247" s="62" t="s">
        <v>161</v>
      </c>
      <c r="H247" s="62" t="s">
        <v>17</v>
      </c>
      <c r="I247" s="62" t="s">
        <v>157</v>
      </c>
      <c r="J247" s="62"/>
      <c r="K247" s="64">
        <v>7.2</v>
      </c>
      <c r="L247" s="64">
        <f t="shared" si="24"/>
        <v>3.2470588235294118</v>
      </c>
      <c r="M247" s="65">
        <f t="shared" si="30"/>
        <v>0</v>
      </c>
      <c r="N247" s="66">
        <f t="shared" si="31"/>
        <v>0</v>
      </c>
      <c r="O247" s="62" t="s">
        <v>45</v>
      </c>
      <c r="P247" s="67">
        <f t="shared" si="32"/>
        <v>0</v>
      </c>
      <c r="Q247" s="64" t="e">
        <f t="shared" si="28"/>
        <v>#DIV/0!</v>
      </c>
      <c r="R247" s="64" t="e">
        <f t="shared" si="29"/>
        <v>#DIV/0!</v>
      </c>
      <c r="S247" s="67" t="e">
        <f t="shared" si="25"/>
        <v>#DIV/0!</v>
      </c>
      <c r="T247" s="64" t="e">
        <f t="shared" si="26"/>
        <v>#DIV/0!</v>
      </c>
      <c r="U247" s="68" t="e">
        <f t="shared" si="27"/>
        <v>#DIV/0!</v>
      </c>
    </row>
    <row r="248" spans="1:21" x14ac:dyDescent="0.2">
      <c r="A248" s="61" t="s">
        <v>244</v>
      </c>
      <c r="B248" s="62" t="s">
        <v>253</v>
      </c>
      <c r="C248" s="62" t="s">
        <v>681</v>
      </c>
      <c r="D248" s="62" t="s">
        <v>704</v>
      </c>
      <c r="E248" s="63" t="s">
        <v>705</v>
      </c>
      <c r="F248" s="62" t="s">
        <v>257</v>
      </c>
      <c r="G248" s="62" t="s">
        <v>161</v>
      </c>
      <c r="H248" s="62" t="s">
        <v>17</v>
      </c>
      <c r="I248" s="62" t="s">
        <v>157</v>
      </c>
      <c r="J248" s="62"/>
      <c r="K248" s="64">
        <v>12</v>
      </c>
      <c r="L248" s="64">
        <f t="shared" si="24"/>
        <v>5.4117647058823533</v>
      </c>
      <c r="M248" s="65">
        <f t="shared" si="30"/>
        <v>0</v>
      </c>
      <c r="N248" s="66">
        <f t="shared" si="31"/>
        <v>0</v>
      </c>
      <c r="O248" s="62" t="s">
        <v>45</v>
      </c>
      <c r="P248" s="67">
        <f t="shared" si="32"/>
        <v>0</v>
      </c>
      <c r="Q248" s="64" t="e">
        <f t="shared" si="28"/>
        <v>#DIV/0!</v>
      </c>
      <c r="R248" s="64" t="e">
        <f t="shared" si="29"/>
        <v>#DIV/0!</v>
      </c>
      <c r="S248" s="67" t="e">
        <f t="shared" si="25"/>
        <v>#DIV/0!</v>
      </c>
      <c r="T248" s="64" t="e">
        <f t="shared" si="26"/>
        <v>#DIV/0!</v>
      </c>
      <c r="U248" s="68" t="e">
        <f t="shared" si="27"/>
        <v>#DIV/0!</v>
      </c>
    </row>
    <row r="249" spans="1:21" x14ac:dyDescent="0.2">
      <c r="A249" s="61" t="s">
        <v>244</v>
      </c>
      <c r="B249" s="62" t="s">
        <v>253</v>
      </c>
      <c r="C249" s="62" t="s">
        <v>681</v>
      </c>
      <c r="D249" s="62" t="s">
        <v>706</v>
      </c>
      <c r="E249" s="63" t="s">
        <v>707</v>
      </c>
      <c r="F249" s="62" t="s">
        <v>257</v>
      </c>
      <c r="G249" s="62" t="s">
        <v>161</v>
      </c>
      <c r="H249" s="62" t="s">
        <v>17</v>
      </c>
      <c r="I249" s="62" t="s">
        <v>157</v>
      </c>
      <c r="J249" s="62"/>
      <c r="K249" s="64">
        <v>13</v>
      </c>
      <c r="L249" s="64">
        <f t="shared" si="24"/>
        <v>5.8627450980392162</v>
      </c>
      <c r="M249" s="65">
        <f t="shared" si="30"/>
        <v>0</v>
      </c>
      <c r="N249" s="66">
        <f t="shared" si="31"/>
        <v>0</v>
      </c>
      <c r="O249" s="62" t="s">
        <v>45</v>
      </c>
      <c r="P249" s="67">
        <f t="shared" si="32"/>
        <v>0</v>
      </c>
      <c r="Q249" s="64" t="e">
        <f t="shared" si="28"/>
        <v>#DIV/0!</v>
      </c>
      <c r="R249" s="64" t="e">
        <f t="shared" si="29"/>
        <v>#DIV/0!</v>
      </c>
      <c r="S249" s="67" t="e">
        <f t="shared" si="25"/>
        <v>#DIV/0!</v>
      </c>
      <c r="T249" s="64" t="e">
        <f t="shared" si="26"/>
        <v>#DIV/0!</v>
      </c>
      <c r="U249" s="68" t="e">
        <f t="shared" si="27"/>
        <v>#DIV/0!</v>
      </c>
    </row>
    <row r="250" spans="1:21" x14ac:dyDescent="0.2">
      <c r="A250" s="61" t="s">
        <v>244</v>
      </c>
      <c r="B250" s="62" t="s">
        <v>253</v>
      </c>
      <c r="C250" s="62" t="s">
        <v>681</v>
      </c>
      <c r="D250" s="62" t="s">
        <v>708</v>
      </c>
      <c r="E250" s="63" t="s">
        <v>709</v>
      </c>
      <c r="F250" s="62" t="s">
        <v>257</v>
      </c>
      <c r="G250" s="62" t="s">
        <v>161</v>
      </c>
      <c r="H250" s="62" t="s">
        <v>17</v>
      </c>
      <c r="I250" s="62" t="s">
        <v>157</v>
      </c>
      <c r="J250" s="62"/>
      <c r="K250" s="64">
        <v>113.4</v>
      </c>
      <c r="L250" s="64">
        <f t="shared" si="24"/>
        <v>51.141176470588242</v>
      </c>
      <c r="M250" s="65">
        <f t="shared" si="30"/>
        <v>0</v>
      </c>
      <c r="N250" s="66">
        <f t="shared" si="31"/>
        <v>0</v>
      </c>
      <c r="O250" s="62" t="s">
        <v>45</v>
      </c>
      <c r="P250" s="67">
        <f t="shared" si="32"/>
        <v>0</v>
      </c>
      <c r="Q250" s="64" t="e">
        <f t="shared" si="28"/>
        <v>#DIV/0!</v>
      </c>
      <c r="R250" s="64" t="e">
        <f t="shared" si="29"/>
        <v>#DIV/0!</v>
      </c>
      <c r="S250" s="67" t="e">
        <f t="shared" si="25"/>
        <v>#DIV/0!</v>
      </c>
      <c r="T250" s="64" t="e">
        <f t="shared" si="26"/>
        <v>#DIV/0!</v>
      </c>
      <c r="U250" s="68" t="e">
        <f t="shared" si="27"/>
        <v>#DIV/0!</v>
      </c>
    </row>
    <row r="251" spans="1:21" x14ac:dyDescent="0.2">
      <c r="A251" s="61" t="s">
        <v>244</v>
      </c>
      <c r="B251" s="62" t="s">
        <v>253</v>
      </c>
      <c r="C251" s="62" t="s">
        <v>681</v>
      </c>
      <c r="D251" s="62" t="s">
        <v>710</v>
      </c>
      <c r="E251" s="63" t="s">
        <v>711</v>
      </c>
      <c r="F251" s="62" t="s">
        <v>257</v>
      </c>
      <c r="G251" s="62" t="s">
        <v>161</v>
      </c>
      <c r="H251" s="62" t="s">
        <v>17</v>
      </c>
      <c r="I251" s="62" t="s">
        <v>157</v>
      </c>
      <c r="J251" s="62"/>
      <c r="K251" s="64">
        <v>25</v>
      </c>
      <c r="L251" s="64">
        <f t="shared" si="24"/>
        <v>11.274509803921569</v>
      </c>
      <c r="M251" s="65">
        <f t="shared" si="30"/>
        <v>0</v>
      </c>
      <c r="N251" s="66">
        <f t="shared" si="31"/>
        <v>0</v>
      </c>
      <c r="O251" s="62" t="s">
        <v>45</v>
      </c>
      <c r="P251" s="67">
        <f t="shared" si="32"/>
        <v>0</v>
      </c>
      <c r="Q251" s="64" t="e">
        <f t="shared" si="28"/>
        <v>#DIV/0!</v>
      </c>
      <c r="R251" s="64" t="e">
        <f t="shared" si="29"/>
        <v>#DIV/0!</v>
      </c>
      <c r="S251" s="67" t="e">
        <f t="shared" si="25"/>
        <v>#DIV/0!</v>
      </c>
      <c r="T251" s="64" t="e">
        <f t="shared" si="26"/>
        <v>#DIV/0!</v>
      </c>
      <c r="U251" s="68" t="e">
        <f t="shared" si="27"/>
        <v>#DIV/0!</v>
      </c>
    </row>
    <row r="252" spans="1:21" x14ac:dyDescent="0.2">
      <c r="A252" s="61" t="s">
        <v>244</v>
      </c>
      <c r="B252" s="62" t="s">
        <v>253</v>
      </c>
      <c r="C252" s="62" t="s">
        <v>681</v>
      </c>
      <c r="D252" s="62" t="s">
        <v>712</v>
      </c>
      <c r="E252" s="63" t="s">
        <v>713</v>
      </c>
      <c r="F252" s="62" t="s">
        <v>257</v>
      </c>
      <c r="G252" s="62" t="s">
        <v>193</v>
      </c>
      <c r="H252" s="62" t="s">
        <v>12</v>
      </c>
      <c r="I252" s="62" t="s">
        <v>157</v>
      </c>
      <c r="J252" s="62"/>
      <c r="K252" s="64">
        <v>20.3</v>
      </c>
      <c r="L252" s="64">
        <f t="shared" si="24"/>
        <v>18.30980392156863</v>
      </c>
      <c r="M252" s="65">
        <f>prodnorm72</f>
        <v>0</v>
      </c>
      <c r="N252" s="66">
        <f>dagwerk72</f>
        <v>0</v>
      </c>
      <c r="O252" s="62" t="s">
        <v>45</v>
      </c>
      <c r="P252" s="67">
        <f>uurtarief72</f>
        <v>0</v>
      </c>
      <c r="Q252" s="64" t="e">
        <f t="shared" si="28"/>
        <v>#DIV/0!</v>
      </c>
      <c r="R252" s="64" t="e">
        <f t="shared" si="29"/>
        <v>#DIV/0!</v>
      </c>
      <c r="S252" s="67" t="e">
        <f t="shared" si="25"/>
        <v>#DIV/0!</v>
      </c>
      <c r="T252" s="64" t="e">
        <f t="shared" si="26"/>
        <v>#DIV/0!</v>
      </c>
      <c r="U252" s="68" t="e">
        <f t="shared" si="27"/>
        <v>#DIV/0!</v>
      </c>
    </row>
    <row r="253" spans="1:21" x14ac:dyDescent="0.2">
      <c r="A253" s="61" t="s">
        <v>244</v>
      </c>
      <c r="B253" s="62" t="s">
        <v>253</v>
      </c>
      <c r="C253" s="62" t="s">
        <v>681</v>
      </c>
      <c r="D253" s="62" t="s">
        <v>714</v>
      </c>
      <c r="E253" s="63" t="s">
        <v>711</v>
      </c>
      <c r="F253" s="62" t="s">
        <v>257</v>
      </c>
      <c r="G253" s="62" t="s">
        <v>161</v>
      </c>
      <c r="H253" s="62" t="s">
        <v>17</v>
      </c>
      <c r="I253" s="62" t="s">
        <v>157</v>
      </c>
      <c r="J253" s="62"/>
      <c r="K253" s="64">
        <v>23</v>
      </c>
      <c r="L253" s="64">
        <f t="shared" si="24"/>
        <v>10.372549019607844</v>
      </c>
      <c r="M253" s="65">
        <f>prodnorm42</f>
        <v>0</v>
      </c>
      <c r="N253" s="66">
        <f>dagwerk42</f>
        <v>0</v>
      </c>
      <c r="O253" s="62" t="s">
        <v>45</v>
      </c>
      <c r="P253" s="67">
        <f>uurtarief42</f>
        <v>0</v>
      </c>
      <c r="Q253" s="64" t="e">
        <f t="shared" si="28"/>
        <v>#DIV/0!</v>
      </c>
      <c r="R253" s="64" t="e">
        <f t="shared" si="29"/>
        <v>#DIV/0!</v>
      </c>
      <c r="S253" s="67" t="e">
        <f t="shared" si="25"/>
        <v>#DIV/0!</v>
      </c>
      <c r="T253" s="64" t="e">
        <f t="shared" si="26"/>
        <v>#DIV/0!</v>
      </c>
      <c r="U253" s="68" t="e">
        <f t="shared" si="27"/>
        <v>#DIV/0!</v>
      </c>
    </row>
    <row r="254" spans="1:21" x14ac:dyDescent="0.2">
      <c r="A254" s="61" t="s">
        <v>244</v>
      </c>
      <c r="B254" s="62" t="s">
        <v>253</v>
      </c>
      <c r="C254" s="62" t="s">
        <v>681</v>
      </c>
      <c r="D254" s="62" t="s">
        <v>715</v>
      </c>
      <c r="E254" s="63" t="s">
        <v>711</v>
      </c>
      <c r="F254" s="62" t="s">
        <v>257</v>
      </c>
      <c r="G254" s="62" t="s">
        <v>161</v>
      </c>
      <c r="H254" s="62" t="s">
        <v>17</v>
      </c>
      <c r="I254" s="62" t="s">
        <v>157</v>
      </c>
      <c r="J254" s="62"/>
      <c r="K254" s="64">
        <v>23.3</v>
      </c>
      <c r="L254" s="64">
        <f t="shared" si="24"/>
        <v>10.507843137254902</v>
      </c>
      <c r="M254" s="65">
        <f>prodnorm42</f>
        <v>0</v>
      </c>
      <c r="N254" s="66">
        <f>dagwerk42</f>
        <v>0</v>
      </c>
      <c r="O254" s="62" t="s">
        <v>45</v>
      </c>
      <c r="P254" s="67">
        <f>uurtarief42</f>
        <v>0</v>
      </c>
      <c r="Q254" s="64" t="e">
        <f t="shared" si="28"/>
        <v>#DIV/0!</v>
      </c>
      <c r="R254" s="64" t="e">
        <f t="shared" si="29"/>
        <v>#DIV/0!</v>
      </c>
      <c r="S254" s="67" t="e">
        <f t="shared" si="25"/>
        <v>#DIV/0!</v>
      </c>
      <c r="T254" s="64" t="e">
        <f t="shared" si="26"/>
        <v>#DIV/0!</v>
      </c>
      <c r="U254" s="68" t="e">
        <f t="shared" si="27"/>
        <v>#DIV/0!</v>
      </c>
    </row>
    <row r="255" spans="1:21" x14ac:dyDescent="0.2">
      <c r="A255" s="61" t="s">
        <v>244</v>
      </c>
      <c r="B255" s="62" t="s">
        <v>253</v>
      </c>
      <c r="C255" s="62" t="s">
        <v>681</v>
      </c>
      <c r="D255" s="62" t="s">
        <v>716</v>
      </c>
      <c r="E255" s="63" t="s">
        <v>711</v>
      </c>
      <c r="F255" s="62" t="s">
        <v>257</v>
      </c>
      <c r="G255" s="62" t="s">
        <v>161</v>
      </c>
      <c r="H255" s="62" t="s">
        <v>17</v>
      </c>
      <c r="I255" s="62" t="s">
        <v>157</v>
      </c>
      <c r="J255" s="62"/>
      <c r="K255" s="64">
        <v>30.3</v>
      </c>
      <c r="L255" s="64">
        <f t="shared" si="24"/>
        <v>13.664705882352942</v>
      </c>
      <c r="M255" s="65">
        <f>prodnorm42</f>
        <v>0</v>
      </c>
      <c r="N255" s="66">
        <f>dagwerk42</f>
        <v>0</v>
      </c>
      <c r="O255" s="62" t="s">
        <v>45</v>
      </c>
      <c r="P255" s="67">
        <f>uurtarief42</f>
        <v>0</v>
      </c>
      <c r="Q255" s="64" t="e">
        <f t="shared" si="28"/>
        <v>#DIV/0!</v>
      </c>
      <c r="R255" s="64" t="e">
        <f t="shared" si="29"/>
        <v>#DIV/0!</v>
      </c>
      <c r="S255" s="67" t="e">
        <f t="shared" si="25"/>
        <v>#DIV/0!</v>
      </c>
      <c r="T255" s="64" t="e">
        <f t="shared" si="26"/>
        <v>#DIV/0!</v>
      </c>
      <c r="U255" s="68" t="e">
        <f t="shared" si="27"/>
        <v>#DIV/0!</v>
      </c>
    </row>
    <row r="256" spans="1:21" x14ac:dyDescent="0.2">
      <c r="A256" s="61" t="s">
        <v>244</v>
      </c>
      <c r="B256" s="62" t="s">
        <v>253</v>
      </c>
      <c r="C256" s="62" t="s">
        <v>681</v>
      </c>
      <c r="D256" s="62" t="s">
        <v>717</v>
      </c>
      <c r="E256" s="63" t="s">
        <v>718</v>
      </c>
      <c r="F256" s="62" t="s">
        <v>257</v>
      </c>
      <c r="G256" s="62" t="s">
        <v>161</v>
      </c>
      <c r="H256" s="62" t="s">
        <v>17</v>
      </c>
      <c r="I256" s="62" t="s">
        <v>157</v>
      </c>
      <c r="J256" s="62"/>
      <c r="K256" s="64">
        <v>26</v>
      </c>
      <c r="L256" s="64">
        <f t="shared" si="24"/>
        <v>11.725490196078432</v>
      </c>
      <c r="M256" s="65">
        <f>prodnorm42</f>
        <v>0</v>
      </c>
      <c r="N256" s="66">
        <f>dagwerk42</f>
        <v>0</v>
      </c>
      <c r="O256" s="62" t="s">
        <v>45</v>
      </c>
      <c r="P256" s="67">
        <f>uurtarief42</f>
        <v>0</v>
      </c>
      <c r="Q256" s="64" t="e">
        <f t="shared" si="28"/>
        <v>#DIV/0!</v>
      </c>
      <c r="R256" s="64" t="e">
        <f t="shared" si="29"/>
        <v>#DIV/0!</v>
      </c>
      <c r="S256" s="67" t="e">
        <f t="shared" si="25"/>
        <v>#DIV/0!</v>
      </c>
      <c r="T256" s="64" t="e">
        <f t="shared" si="26"/>
        <v>#DIV/0!</v>
      </c>
      <c r="U256" s="68" t="e">
        <f t="shared" si="27"/>
        <v>#DIV/0!</v>
      </c>
    </row>
    <row r="257" spans="1:21" x14ac:dyDescent="0.2">
      <c r="A257" s="61" t="s">
        <v>244</v>
      </c>
      <c r="B257" s="62" t="s">
        <v>253</v>
      </c>
      <c r="C257" s="62" t="s">
        <v>681</v>
      </c>
      <c r="D257" s="62" t="s">
        <v>719</v>
      </c>
      <c r="E257" s="63" t="s">
        <v>497</v>
      </c>
      <c r="F257" s="62" t="s">
        <v>257</v>
      </c>
      <c r="G257" s="62" t="s">
        <v>207</v>
      </c>
      <c r="H257" s="62" t="s">
        <v>17</v>
      </c>
      <c r="I257" s="62" t="s">
        <v>157</v>
      </c>
      <c r="J257" s="62"/>
      <c r="K257" s="64">
        <v>56.6</v>
      </c>
      <c r="L257" s="64">
        <f t="shared" si="24"/>
        <v>25.525490196078433</v>
      </c>
      <c r="M257" s="65">
        <f>prodnorm84</f>
        <v>0</v>
      </c>
      <c r="N257" s="66">
        <f>dagwerk84</f>
        <v>0</v>
      </c>
      <c r="O257" s="62" t="s">
        <v>45</v>
      </c>
      <c r="P257" s="67">
        <f>uurtarief84</f>
        <v>0</v>
      </c>
      <c r="Q257" s="64" t="e">
        <f t="shared" si="28"/>
        <v>#DIV/0!</v>
      </c>
      <c r="R257" s="64" t="e">
        <f t="shared" si="29"/>
        <v>#DIV/0!</v>
      </c>
      <c r="S257" s="67" t="e">
        <f t="shared" si="25"/>
        <v>#DIV/0!</v>
      </c>
      <c r="T257" s="64" t="e">
        <f t="shared" si="26"/>
        <v>#DIV/0!</v>
      </c>
      <c r="U257" s="68" t="e">
        <f t="shared" si="27"/>
        <v>#DIV/0!</v>
      </c>
    </row>
    <row r="258" spans="1:21" x14ac:dyDescent="0.2">
      <c r="A258" s="61" t="s">
        <v>244</v>
      </c>
      <c r="B258" s="62" t="s">
        <v>253</v>
      </c>
      <c r="C258" s="62" t="s">
        <v>681</v>
      </c>
      <c r="D258" s="62" t="s">
        <v>720</v>
      </c>
      <c r="E258" s="63" t="s">
        <v>721</v>
      </c>
      <c r="F258" s="62" t="s">
        <v>257</v>
      </c>
      <c r="G258" s="62" t="s">
        <v>207</v>
      </c>
      <c r="H258" s="62" t="s">
        <v>17</v>
      </c>
      <c r="I258" s="62" t="s">
        <v>157</v>
      </c>
      <c r="J258" s="62"/>
      <c r="K258" s="64">
        <v>53.3</v>
      </c>
      <c r="L258" s="64">
        <f t="shared" si="24"/>
        <v>24.037254901960782</v>
      </c>
      <c r="M258" s="65">
        <f>prodnorm84</f>
        <v>0</v>
      </c>
      <c r="N258" s="66">
        <f>dagwerk84</f>
        <v>0</v>
      </c>
      <c r="O258" s="62" t="s">
        <v>45</v>
      </c>
      <c r="P258" s="67">
        <f>uurtarief84</f>
        <v>0</v>
      </c>
      <c r="Q258" s="64" t="e">
        <f t="shared" si="28"/>
        <v>#DIV/0!</v>
      </c>
      <c r="R258" s="64" t="e">
        <f t="shared" si="29"/>
        <v>#DIV/0!</v>
      </c>
      <c r="S258" s="67" t="e">
        <f t="shared" si="25"/>
        <v>#DIV/0!</v>
      </c>
      <c r="T258" s="64" t="e">
        <f t="shared" si="26"/>
        <v>#DIV/0!</v>
      </c>
      <c r="U258" s="68" t="e">
        <f t="shared" si="27"/>
        <v>#DIV/0!</v>
      </c>
    </row>
    <row r="259" spans="1:21" x14ac:dyDescent="0.2">
      <c r="A259" s="61" t="s">
        <v>244</v>
      </c>
      <c r="B259" s="62" t="s">
        <v>253</v>
      </c>
      <c r="C259" s="62" t="s">
        <v>681</v>
      </c>
      <c r="D259" s="62" t="s">
        <v>722</v>
      </c>
      <c r="E259" s="63" t="s">
        <v>723</v>
      </c>
      <c r="F259" s="62" t="s">
        <v>249</v>
      </c>
      <c r="G259" s="62" t="s">
        <v>201</v>
      </c>
      <c r="H259" s="62" t="s">
        <v>12</v>
      </c>
      <c r="I259" s="62" t="s">
        <v>157</v>
      </c>
      <c r="J259" s="62"/>
      <c r="K259" s="64">
        <v>8.3000000000000007</v>
      </c>
      <c r="L259" s="64">
        <f t="shared" si="24"/>
        <v>7.4862745098039225</v>
      </c>
      <c r="M259" s="65">
        <f>prodnorm77</f>
        <v>0</v>
      </c>
      <c r="N259" s="66">
        <f>dagwerk77</f>
        <v>0</v>
      </c>
      <c r="O259" s="62" t="s">
        <v>45</v>
      </c>
      <c r="P259" s="67">
        <f>uurtarief77</f>
        <v>0</v>
      </c>
      <c r="Q259" s="64" t="e">
        <f t="shared" si="28"/>
        <v>#DIV/0!</v>
      </c>
      <c r="R259" s="64" t="e">
        <f t="shared" si="29"/>
        <v>#DIV/0!</v>
      </c>
      <c r="S259" s="67" t="e">
        <f t="shared" si="25"/>
        <v>#DIV/0!</v>
      </c>
      <c r="T259" s="64" t="e">
        <f t="shared" si="26"/>
        <v>#DIV/0!</v>
      </c>
      <c r="U259" s="68" t="e">
        <f t="shared" si="27"/>
        <v>#DIV/0!</v>
      </c>
    </row>
    <row r="260" spans="1:21" x14ac:dyDescent="0.2">
      <c r="A260" s="61" t="s">
        <v>244</v>
      </c>
      <c r="B260" s="62" t="s">
        <v>253</v>
      </c>
      <c r="C260" s="62" t="s">
        <v>681</v>
      </c>
      <c r="D260" s="62" t="s">
        <v>722</v>
      </c>
      <c r="E260" s="63" t="s">
        <v>723</v>
      </c>
      <c r="F260" s="62" t="s">
        <v>249</v>
      </c>
      <c r="G260" s="62" t="s">
        <v>203</v>
      </c>
      <c r="H260" s="62" t="s">
        <v>11</v>
      </c>
      <c r="I260" s="62" t="s">
        <v>157</v>
      </c>
      <c r="J260" s="62"/>
      <c r="K260" s="64">
        <v>8.3000000000000007</v>
      </c>
      <c r="L260" s="64">
        <f t="shared" si="24"/>
        <v>8.3000000000000007</v>
      </c>
      <c r="M260" s="65">
        <f>prodnorm80</f>
        <v>0</v>
      </c>
      <c r="N260" s="66">
        <f>dagwerk80</f>
        <v>0</v>
      </c>
      <c r="O260" s="62" t="s">
        <v>45</v>
      </c>
      <c r="P260" s="67">
        <f>uurtarief80</f>
        <v>0</v>
      </c>
      <c r="Q260" s="64" t="e">
        <f t="shared" si="28"/>
        <v>#DIV/0!</v>
      </c>
      <c r="R260" s="64" t="e">
        <f t="shared" si="29"/>
        <v>#DIV/0!</v>
      </c>
      <c r="S260" s="67" t="e">
        <f t="shared" si="25"/>
        <v>#DIV/0!</v>
      </c>
      <c r="T260" s="64" t="e">
        <f t="shared" si="26"/>
        <v>#DIV/0!</v>
      </c>
      <c r="U260" s="68" t="e">
        <f t="shared" si="27"/>
        <v>#DIV/0!</v>
      </c>
    </row>
    <row r="261" spans="1:21" x14ac:dyDescent="0.2">
      <c r="A261" s="61" t="s">
        <v>244</v>
      </c>
      <c r="B261" s="62" t="s">
        <v>253</v>
      </c>
      <c r="C261" s="62" t="s">
        <v>681</v>
      </c>
      <c r="D261" s="62" t="s">
        <v>724</v>
      </c>
      <c r="E261" s="63" t="s">
        <v>725</v>
      </c>
      <c r="F261" s="62" t="s">
        <v>249</v>
      </c>
      <c r="G261" s="62" t="s">
        <v>201</v>
      </c>
      <c r="H261" s="62" t="s">
        <v>12</v>
      </c>
      <c r="I261" s="62" t="s">
        <v>157</v>
      </c>
      <c r="J261" s="62"/>
      <c r="K261" s="64">
        <v>8.6999999999999993</v>
      </c>
      <c r="L261" s="64">
        <f t="shared" ref="L261:L324" si="33">K261*VLOOKUP(H261,dagsoorttabel1,2,FALSE)</f>
        <v>7.8470588235294114</v>
      </c>
      <c r="M261" s="65">
        <f>prodnorm77</f>
        <v>0</v>
      </c>
      <c r="N261" s="66">
        <f>dagwerk77</f>
        <v>0</v>
      </c>
      <c r="O261" s="62" t="s">
        <v>45</v>
      </c>
      <c r="P261" s="67">
        <f>uurtarief77</f>
        <v>0</v>
      </c>
      <c r="Q261" s="64" t="e">
        <f t="shared" si="28"/>
        <v>#DIV/0!</v>
      </c>
      <c r="R261" s="64" t="e">
        <f t="shared" si="29"/>
        <v>#DIV/0!</v>
      </c>
      <c r="S261" s="67" t="e">
        <f t="shared" ref="S261:S324" si="34">ROUND(P261,2)*Q261</f>
        <v>#DIV/0!</v>
      </c>
      <c r="T261" s="64" t="e">
        <f t="shared" ref="T261:T324" si="35">Q261*dagenperjaar1</f>
        <v>#DIV/0!</v>
      </c>
      <c r="U261" s="68" t="e">
        <f t="shared" ref="U261:U324" si="36">T261*ROUND(P261,2)</f>
        <v>#DIV/0!</v>
      </c>
    </row>
    <row r="262" spans="1:21" x14ac:dyDescent="0.2">
      <c r="A262" s="61" t="s">
        <v>244</v>
      </c>
      <c r="B262" s="62" t="s">
        <v>253</v>
      </c>
      <c r="C262" s="62" t="s">
        <v>681</v>
      </c>
      <c r="D262" s="62" t="s">
        <v>724</v>
      </c>
      <c r="E262" s="63" t="s">
        <v>725</v>
      </c>
      <c r="F262" s="62" t="s">
        <v>249</v>
      </c>
      <c r="G262" s="62" t="s">
        <v>203</v>
      </c>
      <c r="H262" s="62" t="s">
        <v>11</v>
      </c>
      <c r="I262" s="62" t="s">
        <v>157</v>
      </c>
      <c r="J262" s="62"/>
      <c r="K262" s="64">
        <v>8.6999999999999993</v>
      </c>
      <c r="L262" s="64">
        <f t="shared" si="33"/>
        <v>8.6999999999999993</v>
      </c>
      <c r="M262" s="65">
        <f>prodnorm80</f>
        <v>0</v>
      </c>
      <c r="N262" s="66">
        <f>dagwerk80</f>
        <v>0</v>
      </c>
      <c r="O262" s="62" t="s">
        <v>45</v>
      </c>
      <c r="P262" s="67">
        <f>uurtarief80</f>
        <v>0</v>
      </c>
      <c r="Q262" s="64" t="e">
        <f t="shared" si="28"/>
        <v>#DIV/0!</v>
      </c>
      <c r="R262" s="64" t="e">
        <f t="shared" si="29"/>
        <v>#DIV/0!</v>
      </c>
      <c r="S262" s="67" t="e">
        <f t="shared" si="34"/>
        <v>#DIV/0!</v>
      </c>
      <c r="T262" s="64" t="e">
        <f t="shared" si="35"/>
        <v>#DIV/0!</v>
      </c>
      <c r="U262" s="68" t="e">
        <f t="shared" si="36"/>
        <v>#DIV/0!</v>
      </c>
    </row>
    <row r="263" spans="1:21" x14ac:dyDescent="0.2">
      <c r="A263" s="61" t="s">
        <v>244</v>
      </c>
      <c r="B263" s="62" t="s">
        <v>253</v>
      </c>
      <c r="C263" s="62" t="s">
        <v>681</v>
      </c>
      <c r="D263" s="62" t="s">
        <v>726</v>
      </c>
      <c r="E263" s="63" t="s">
        <v>727</v>
      </c>
      <c r="F263" s="62" t="s">
        <v>249</v>
      </c>
      <c r="G263" s="62" t="s">
        <v>201</v>
      </c>
      <c r="H263" s="62" t="s">
        <v>12</v>
      </c>
      <c r="I263" s="62" t="s">
        <v>157</v>
      </c>
      <c r="J263" s="62"/>
      <c r="K263" s="64">
        <v>4.5</v>
      </c>
      <c r="L263" s="64">
        <f t="shared" si="33"/>
        <v>4.0588235294117645</v>
      </c>
      <c r="M263" s="65">
        <f>prodnorm77</f>
        <v>0</v>
      </c>
      <c r="N263" s="66">
        <f>dagwerk77</f>
        <v>0</v>
      </c>
      <c r="O263" s="62" t="s">
        <v>45</v>
      </c>
      <c r="P263" s="67">
        <f>uurtarief77</f>
        <v>0</v>
      </c>
      <c r="Q263" s="64" t="e">
        <f t="shared" si="28"/>
        <v>#DIV/0!</v>
      </c>
      <c r="R263" s="64" t="e">
        <f t="shared" si="29"/>
        <v>#DIV/0!</v>
      </c>
      <c r="S263" s="67" t="e">
        <f t="shared" si="34"/>
        <v>#DIV/0!</v>
      </c>
      <c r="T263" s="64" t="e">
        <f t="shared" si="35"/>
        <v>#DIV/0!</v>
      </c>
      <c r="U263" s="68" t="e">
        <f t="shared" si="36"/>
        <v>#DIV/0!</v>
      </c>
    </row>
    <row r="264" spans="1:21" x14ac:dyDescent="0.2">
      <c r="A264" s="61" t="s">
        <v>244</v>
      </c>
      <c r="B264" s="62" t="s">
        <v>253</v>
      </c>
      <c r="C264" s="62" t="s">
        <v>681</v>
      </c>
      <c r="D264" s="62" t="s">
        <v>728</v>
      </c>
      <c r="E264" s="63" t="s">
        <v>288</v>
      </c>
      <c r="F264" s="62" t="s">
        <v>289</v>
      </c>
      <c r="G264" s="62" t="s">
        <v>205</v>
      </c>
      <c r="H264" s="62" t="s">
        <v>22</v>
      </c>
      <c r="I264" s="62" t="s">
        <v>157</v>
      </c>
      <c r="J264" s="62"/>
      <c r="K264" s="64">
        <v>15.1</v>
      </c>
      <c r="L264" s="64">
        <f t="shared" si="33"/>
        <v>3.02</v>
      </c>
      <c r="M264" s="65">
        <f>prodnorm83</f>
        <v>0</v>
      </c>
      <c r="N264" s="66">
        <f>dagwerk83</f>
        <v>0</v>
      </c>
      <c r="O264" s="62" t="s">
        <v>45</v>
      </c>
      <c r="P264" s="67">
        <f>uurtarief83</f>
        <v>0</v>
      </c>
      <c r="Q264" s="64" t="e">
        <f t="shared" si="28"/>
        <v>#DIV/0!</v>
      </c>
      <c r="R264" s="64" t="e">
        <f t="shared" si="29"/>
        <v>#DIV/0!</v>
      </c>
      <c r="S264" s="67" t="e">
        <f t="shared" si="34"/>
        <v>#DIV/0!</v>
      </c>
      <c r="T264" s="64" t="e">
        <f t="shared" si="35"/>
        <v>#DIV/0!</v>
      </c>
      <c r="U264" s="68" t="e">
        <f t="shared" si="36"/>
        <v>#DIV/0!</v>
      </c>
    </row>
    <row r="265" spans="1:21" x14ac:dyDescent="0.2">
      <c r="A265" s="61" t="s">
        <v>244</v>
      </c>
      <c r="B265" s="62" t="s">
        <v>253</v>
      </c>
      <c r="C265" s="62" t="s">
        <v>681</v>
      </c>
      <c r="D265" s="62" t="s">
        <v>729</v>
      </c>
      <c r="E265" s="63" t="s">
        <v>730</v>
      </c>
      <c r="F265" s="62" t="s">
        <v>257</v>
      </c>
      <c r="G265" s="62" t="s">
        <v>207</v>
      </c>
      <c r="H265" s="62" t="s">
        <v>17</v>
      </c>
      <c r="I265" s="62" t="s">
        <v>157</v>
      </c>
      <c r="J265" s="62"/>
      <c r="K265" s="64">
        <v>183</v>
      </c>
      <c r="L265" s="64">
        <f t="shared" si="33"/>
        <v>82.529411764705884</v>
      </c>
      <c r="M265" s="65">
        <f>prodnorm84</f>
        <v>0</v>
      </c>
      <c r="N265" s="66">
        <f>dagwerk84</f>
        <v>0</v>
      </c>
      <c r="O265" s="62" t="s">
        <v>45</v>
      </c>
      <c r="P265" s="67">
        <f>uurtarief84</f>
        <v>0</v>
      </c>
      <c r="Q265" s="64" t="e">
        <f t="shared" si="28"/>
        <v>#DIV/0!</v>
      </c>
      <c r="R265" s="64" t="e">
        <f t="shared" si="29"/>
        <v>#DIV/0!</v>
      </c>
      <c r="S265" s="67" t="e">
        <f t="shared" si="34"/>
        <v>#DIV/0!</v>
      </c>
      <c r="T265" s="64" t="e">
        <f t="shared" si="35"/>
        <v>#DIV/0!</v>
      </c>
      <c r="U265" s="68" t="e">
        <f t="shared" si="36"/>
        <v>#DIV/0!</v>
      </c>
    </row>
    <row r="266" spans="1:21" x14ac:dyDescent="0.2">
      <c r="A266" s="61" t="s">
        <v>244</v>
      </c>
      <c r="B266" s="62" t="s">
        <v>253</v>
      </c>
      <c r="C266" s="62" t="s">
        <v>681</v>
      </c>
      <c r="D266" s="62" t="s">
        <v>731</v>
      </c>
      <c r="E266" s="63" t="s">
        <v>732</v>
      </c>
      <c r="F266" s="62" t="s">
        <v>257</v>
      </c>
      <c r="G266" s="62" t="s">
        <v>193</v>
      </c>
      <c r="H266" s="62" t="s">
        <v>12</v>
      </c>
      <c r="I266" s="62" t="s">
        <v>157</v>
      </c>
      <c r="J266" s="62"/>
      <c r="K266" s="64">
        <v>14</v>
      </c>
      <c r="L266" s="64">
        <f t="shared" si="33"/>
        <v>12.627450980392156</v>
      </c>
      <c r="M266" s="65">
        <f>prodnorm72</f>
        <v>0</v>
      </c>
      <c r="N266" s="66">
        <f>dagwerk72</f>
        <v>0</v>
      </c>
      <c r="O266" s="62" t="s">
        <v>45</v>
      </c>
      <c r="P266" s="67">
        <f>uurtarief72</f>
        <v>0</v>
      </c>
      <c r="Q266" s="64" t="e">
        <f t="shared" si="28"/>
        <v>#DIV/0!</v>
      </c>
      <c r="R266" s="64" t="e">
        <f t="shared" si="29"/>
        <v>#DIV/0!</v>
      </c>
      <c r="S266" s="67" t="e">
        <f t="shared" si="34"/>
        <v>#DIV/0!</v>
      </c>
      <c r="T266" s="64" t="e">
        <f t="shared" si="35"/>
        <v>#DIV/0!</v>
      </c>
      <c r="U266" s="68" t="e">
        <f t="shared" si="36"/>
        <v>#DIV/0!</v>
      </c>
    </row>
    <row r="267" spans="1:21" x14ac:dyDescent="0.2">
      <c r="A267" s="61" t="s">
        <v>244</v>
      </c>
      <c r="B267" s="62" t="s">
        <v>253</v>
      </c>
      <c r="C267" s="62" t="s">
        <v>681</v>
      </c>
      <c r="D267" s="62" t="s">
        <v>733</v>
      </c>
      <c r="E267" s="63" t="s">
        <v>734</v>
      </c>
      <c r="F267" s="62" t="s">
        <v>257</v>
      </c>
      <c r="G267" s="62" t="s">
        <v>161</v>
      </c>
      <c r="H267" s="62" t="s">
        <v>12</v>
      </c>
      <c r="I267" s="62" t="s">
        <v>157</v>
      </c>
      <c r="J267" s="62"/>
      <c r="K267" s="64">
        <v>37.9</v>
      </c>
      <c r="L267" s="64">
        <f t="shared" si="33"/>
        <v>34.184313725490192</v>
      </c>
      <c r="M267" s="65">
        <f>prodnorm44</f>
        <v>0</v>
      </c>
      <c r="N267" s="66">
        <f>dagwerk44</f>
        <v>0</v>
      </c>
      <c r="O267" s="62" t="s">
        <v>45</v>
      </c>
      <c r="P267" s="67">
        <f>uurtarief44</f>
        <v>0</v>
      </c>
      <c r="Q267" s="64" t="e">
        <f t="shared" ref="Q267:Q330" si="37">IF(ISBLANK(M267),0,L267/ROUND(M267,4))</f>
        <v>#DIV/0!</v>
      </c>
      <c r="R267" s="64" t="e">
        <f t="shared" ref="R267:R330" si="38">IF(ISBLANK(M267),0,Q267*ROUND(N267,2))</f>
        <v>#DIV/0!</v>
      </c>
      <c r="S267" s="67" t="e">
        <f t="shared" si="34"/>
        <v>#DIV/0!</v>
      </c>
      <c r="T267" s="64" t="e">
        <f t="shared" si="35"/>
        <v>#DIV/0!</v>
      </c>
      <c r="U267" s="68" t="e">
        <f t="shared" si="36"/>
        <v>#DIV/0!</v>
      </c>
    </row>
    <row r="268" spans="1:21" x14ac:dyDescent="0.2">
      <c r="A268" s="61" t="s">
        <v>244</v>
      </c>
      <c r="B268" s="62" t="s">
        <v>253</v>
      </c>
      <c r="C268" s="62" t="s">
        <v>681</v>
      </c>
      <c r="D268" s="62" t="s">
        <v>735</v>
      </c>
      <c r="E268" s="63" t="s">
        <v>697</v>
      </c>
      <c r="F268" s="62" t="s">
        <v>257</v>
      </c>
      <c r="G268" s="62" t="s">
        <v>187</v>
      </c>
      <c r="H268" s="62" t="s">
        <v>12</v>
      </c>
      <c r="I268" s="62" t="s">
        <v>157</v>
      </c>
      <c r="J268" s="62"/>
      <c r="K268" s="64">
        <v>19</v>
      </c>
      <c r="L268" s="64">
        <f t="shared" si="33"/>
        <v>17.137254901960784</v>
      </c>
      <c r="M268" s="65">
        <f>prodnorm67</f>
        <v>0</v>
      </c>
      <c r="N268" s="66">
        <f>dagwerk67</f>
        <v>0</v>
      </c>
      <c r="O268" s="62" t="s">
        <v>45</v>
      </c>
      <c r="P268" s="67">
        <f>uurtarief67</f>
        <v>0</v>
      </c>
      <c r="Q268" s="64" t="e">
        <f t="shared" si="37"/>
        <v>#DIV/0!</v>
      </c>
      <c r="R268" s="64" t="e">
        <f t="shared" si="38"/>
        <v>#DIV/0!</v>
      </c>
      <c r="S268" s="67" t="e">
        <f t="shared" si="34"/>
        <v>#DIV/0!</v>
      </c>
      <c r="T268" s="64" t="e">
        <f t="shared" si="35"/>
        <v>#DIV/0!</v>
      </c>
      <c r="U268" s="68" t="e">
        <f t="shared" si="36"/>
        <v>#DIV/0!</v>
      </c>
    </row>
    <row r="269" spans="1:21" ht="25.5" x14ac:dyDescent="0.2">
      <c r="A269" s="61" t="s">
        <v>244</v>
      </c>
      <c r="B269" s="62" t="s">
        <v>253</v>
      </c>
      <c r="C269" s="62" t="s">
        <v>681</v>
      </c>
      <c r="D269" s="62" t="s">
        <v>736</v>
      </c>
      <c r="E269" s="63" t="s">
        <v>737</v>
      </c>
      <c r="F269" s="62" t="s">
        <v>257</v>
      </c>
      <c r="G269" s="62" t="s">
        <v>161</v>
      </c>
      <c r="H269" s="62" t="s">
        <v>17</v>
      </c>
      <c r="I269" s="62" t="s">
        <v>157</v>
      </c>
      <c r="J269" s="62"/>
      <c r="K269" s="64">
        <v>34.6</v>
      </c>
      <c r="L269" s="64">
        <f t="shared" si="33"/>
        <v>15.603921568627452</v>
      </c>
      <c r="M269" s="65">
        <f t="shared" ref="M269:M274" si="39">prodnorm42</f>
        <v>0</v>
      </c>
      <c r="N269" s="66">
        <f t="shared" ref="N269:N274" si="40">dagwerk42</f>
        <v>0</v>
      </c>
      <c r="O269" s="62" t="s">
        <v>45</v>
      </c>
      <c r="P269" s="67">
        <f t="shared" ref="P269:P274" si="41">uurtarief42</f>
        <v>0</v>
      </c>
      <c r="Q269" s="64" t="e">
        <f t="shared" si="37"/>
        <v>#DIV/0!</v>
      </c>
      <c r="R269" s="64" t="e">
        <f t="shared" si="38"/>
        <v>#DIV/0!</v>
      </c>
      <c r="S269" s="67" t="e">
        <f t="shared" si="34"/>
        <v>#DIV/0!</v>
      </c>
      <c r="T269" s="64" t="e">
        <f t="shared" si="35"/>
        <v>#DIV/0!</v>
      </c>
      <c r="U269" s="68" t="e">
        <f t="shared" si="36"/>
        <v>#DIV/0!</v>
      </c>
    </row>
    <row r="270" spans="1:21" x14ac:dyDescent="0.2">
      <c r="A270" s="61" t="s">
        <v>244</v>
      </c>
      <c r="B270" s="62" t="s">
        <v>253</v>
      </c>
      <c r="C270" s="62" t="s">
        <v>681</v>
      </c>
      <c r="D270" s="62" t="s">
        <v>738</v>
      </c>
      <c r="E270" s="63" t="s">
        <v>739</v>
      </c>
      <c r="F270" s="62" t="s">
        <v>257</v>
      </c>
      <c r="G270" s="62" t="s">
        <v>161</v>
      </c>
      <c r="H270" s="62" t="s">
        <v>17</v>
      </c>
      <c r="I270" s="62" t="s">
        <v>157</v>
      </c>
      <c r="J270" s="62"/>
      <c r="K270" s="64">
        <v>10.5</v>
      </c>
      <c r="L270" s="64">
        <f t="shared" si="33"/>
        <v>4.7352941176470589</v>
      </c>
      <c r="M270" s="65">
        <f t="shared" si="39"/>
        <v>0</v>
      </c>
      <c r="N270" s="66">
        <f t="shared" si="40"/>
        <v>0</v>
      </c>
      <c r="O270" s="62" t="s">
        <v>45</v>
      </c>
      <c r="P270" s="67">
        <f t="shared" si="41"/>
        <v>0</v>
      </c>
      <c r="Q270" s="64" t="e">
        <f t="shared" si="37"/>
        <v>#DIV/0!</v>
      </c>
      <c r="R270" s="64" t="e">
        <f t="shared" si="38"/>
        <v>#DIV/0!</v>
      </c>
      <c r="S270" s="67" t="e">
        <f t="shared" si="34"/>
        <v>#DIV/0!</v>
      </c>
      <c r="T270" s="64" t="e">
        <f t="shared" si="35"/>
        <v>#DIV/0!</v>
      </c>
      <c r="U270" s="68" t="e">
        <f t="shared" si="36"/>
        <v>#DIV/0!</v>
      </c>
    </row>
    <row r="271" spans="1:21" x14ac:dyDescent="0.2">
      <c r="A271" s="61" t="s">
        <v>244</v>
      </c>
      <c r="B271" s="62" t="s">
        <v>253</v>
      </c>
      <c r="C271" s="62" t="s">
        <v>681</v>
      </c>
      <c r="D271" s="62" t="s">
        <v>740</v>
      </c>
      <c r="E271" s="63" t="s">
        <v>739</v>
      </c>
      <c r="F271" s="62" t="s">
        <v>257</v>
      </c>
      <c r="G271" s="62" t="s">
        <v>161</v>
      </c>
      <c r="H271" s="62" t="s">
        <v>17</v>
      </c>
      <c r="I271" s="62" t="s">
        <v>157</v>
      </c>
      <c r="J271" s="62"/>
      <c r="K271" s="64">
        <v>12.5</v>
      </c>
      <c r="L271" s="64">
        <f t="shared" si="33"/>
        <v>5.6372549019607847</v>
      </c>
      <c r="M271" s="65">
        <f t="shared" si="39"/>
        <v>0</v>
      </c>
      <c r="N271" s="66">
        <f t="shared" si="40"/>
        <v>0</v>
      </c>
      <c r="O271" s="62" t="s">
        <v>45</v>
      </c>
      <c r="P271" s="67">
        <f t="shared" si="41"/>
        <v>0</v>
      </c>
      <c r="Q271" s="64" t="e">
        <f t="shared" si="37"/>
        <v>#DIV/0!</v>
      </c>
      <c r="R271" s="64" t="e">
        <f t="shared" si="38"/>
        <v>#DIV/0!</v>
      </c>
      <c r="S271" s="67" t="e">
        <f t="shared" si="34"/>
        <v>#DIV/0!</v>
      </c>
      <c r="T271" s="64" t="e">
        <f t="shared" si="35"/>
        <v>#DIV/0!</v>
      </c>
      <c r="U271" s="68" t="e">
        <f t="shared" si="36"/>
        <v>#DIV/0!</v>
      </c>
    </row>
    <row r="272" spans="1:21" x14ac:dyDescent="0.2">
      <c r="A272" s="61" t="s">
        <v>244</v>
      </c>
      <c r="B272" s="62" t="s">
        <v>253</v>
      </c>
      <c r="C272" s="62" t="s">
        <v>681</v>
      </c>
      <c r="D272" s="62" t="s">
        <v>741</v>
      </c>
      <c r="E272" s="63" t="s">
        <v>742</v>
      </c>
      <c r="F272" s="62" t="s">
        <v>257</v>
      </c>
      <c r="G272" s="62" t="s">
        <v>161</v>
      </c>
      <c r="H272" s="62" t="s">
        <v>17</v>
      </c>
      <c r="I272" s="62" t="s">
        <v>157</v>
      </c>
      <c r="J272" s="62"/>
      <c r="K272" s="64">
        <v>21.6</v>
      </c>
      <c r="L272" s="64">
        <f t="shared" si="33"/>
        <v>9.7411764705882362</v>
      </c>
      <c r="M272" s="65">
        <f t="shared" si="39"/>
        <v>0</v>
      </c>
      <c r="N272" s="66">
        <f t="shared" si="40"/>
        <v>0</v>
      </c>
      <c r="O272" s="62" t="s">
        <v>45</v>
      </c>
      <c r="P272" s="67">
        <f t="shared" si="41"/>
        <v>0</v>
      </c>
      <c r="Q272" s="64" t="e">
        <f t="shared" si="37"/>
        <v>#DIV/0!</v>
      </c>
      <c r="R272" s="64" t="e">
        <f t="shared" si="38"/>
        <v>#DIV/0!</v>
      </c>
      <c r="S272" s="67" t="e">
        <f t="shared" si="34"/>
        <v>#DIV/0!</v>
      </c>
      <c r="T272" s="64" t="e">
        <f t="shared" si="35"/>
        <v>#DIV/0!</v>
      </c>
      <c r="U272" s="68" t="e">
        <f t="shared" si="36"/>
        <v>#DIV/0!</v>
      </c>
    </row>
    <row r="273" spans="1:21" x14ac:dyDescent="0.2">
      <c r="A273" s="61" t="s">
        <v>244</v>
      </c>
      <c r="B273" s="62" t="s">
        <v>253</v>
      </c>
      <c r="C273" s="62" t="s">
        <v>681</v>
      </c>
      <c r="D273" s="62" t="s">
        <v>743</v>
      </c>
      <c r="E273" s="63" t="s">
        <v>744</v>
      </c>
      <c r="F273" s="62" t="s">
        <v>257</v>
      </c>
      <c r="G273" s="62" t="s">
        <v>161</v>
      </c>
      <c r="H273" s="62" t="s">
        <v>17</v>
      </c>
      <c r="I273" s="62" t="s">
        <v>157</v>
      </c>
      <c r="J273" s="62"/>
      <c r="K273" s="64">
        <v>81</v>
      </c>
      <c r="L273" s="64">
        <f t="shared" si="33"/>
        <v>36.529411764705884</v>
      </c>
      <c r="M273" s="65">
        <f t="shared" si="39"/>
        <v>0</v>
      </c>
      <c r="N273" s="66">
        <f t="shared" si="40"/>
        <v>0</v>
      </c>
      <c r="O273" s="62" t="s">
        <v>45</v>
      </c>
      <c r="P273" s="67">
        <f t="shared" si="41"/>
        <v>0</v>
      </c>
      <c r="Q273" s="64" t="e">
        <f t="shared" si="37"/>
        <v>#DIV/0!</v>
      </c>
      <c r="R273" s="64" t="e">
        <f t="shared" si="38"/>
        <v>#DIV/0!</v>
      </c>
      <c r="S273" s="67" t="e">
        <f t="shared" si="34"/>
        <v>#DIV/0!</v>
      </c>
      <c r="T273" s="64" t="e">
        <f t="shared" si="35"/>
        <v>#DIV/0!</v>
      </c>
      <c r="U273" s="68" t="e">
        <f t="shared" si="36"/>
        <v>#DIV/0!</v>
      </c>
    </row>
    <row r="274" spans="1:21" x14ac:dyDescent="0.2">
      <c r="A274" s="61" t="s">
        <v>244</v>
      </c>
      <c r="B274" s="62" t="s">
        <v>253</v>
      </c>
      <c r="C274" s="62" t="s">
        <v>681</v>
      </c>
      <c r="D274" s="62" t="s">
        <v>745</v>
      </c>
      <c r="E274" s="63" t="s">
        <v>744</v>
      </c>
      <c r="F274" s="62" t="s">
        <v>257</v>
      </c>
      <c r="G274" s="62" t="s">
        <v>161</v>
      </c>
      <c r="H274" s="62" t="s">
        <v>17</v>
      </c>
      <c r="I274" s="62" t="s">
        <v>157</v>
      </c>
      <c r="J274" s="62"/>
      <c r="K274" s="64">
        <v>38</v>
      </c>
      <c r="L274" s="64">
        <f t="shared" si="33"/>
        <v>17.137254901960784</v>
      </c>
      <c r="M274" s="65">
        <f t="shared" si="39"/>
        <v>0</v>
      </c>
      <c r="N274" s="66">
        <f t="shared" si="40"/>
        <v>0</v>
      </c>
      <c r="O274" s="62" t="s">
        <v>45</v>
      </c>
      <c r="P274" s="67">
        <f t="shared" si="41"/>
        <v>0</v>
      </c>
      <c r="Q274" s="64" t="e">
        <f t="shared" si="37"/>
        <v>#DIV/0!</v>
      </c>
      <c r="R274" s="64" t="e">
        <f t="shared" si="38"/>
        <v>#DIV/0!</v>
      </c>
      <c r="S274" s="67" t="e">
        <f t="shared" si="34"/>
        <v>#DIV/0!</v>
      </c>
      <c r="T274" s="64" t="e">
        <f t="shared" si="35"/>
        <v>#DIV/0!</v>
      </c>
      <c r="U274" s="68" t="e">
        <f t="shared" si="36"/>
        <v>#DIV/0!</v>
      </c>
    </row>
    <row r="275" spans="1:21" x14ac:dyDescent="0.2">
      <c r="A275" s="61" t="s">
        <v>244</v>
      </c>
      <c r="B275" s="62" t="s">
        <v>253</v>
      </c>
      <c r="C275" s="62" t="s">
        <v>681</v>
      </c>
      <c r="D275" s="62" t="s">
        <v>746</v>
      </c>
      <c r="E275" s="63" t="s">
        <v>747</v>
      </c>
      <c r="F275" s="62" t="s">
        <v>257</v>
      </c>
      <c r="G275" s="62" t="s">
        <v>161</v>
      </c>
      <c r="H275" s="62" t="s">
        <v>12</v>
      </c>
      <c r="I275" s="62" t="s">
        <v>157</v>
      </c>
      <c r="J275" s="62"/>
      <c r="K275" s="64">
        <v>38.5</v>
      </c>
      <c r="L275" s="64">
        <f t="shared" si="33"/>
        <v>34.725490196078432</v>
      </c>
      <c r="M275" s="65">
        <f>prodnorm44</f>
        <v>0</v>
      </c>
      <c r="N275" s="66">
        <f>dagwerk44</f>
        <v>0</v>
      </c>
      <c r="O275" s="62" t="s">
        <v>45</v>
      </c>
      <c r="P275" s="67">
        <f>uurtarief44</f>
        <v>0</v>
      </c>
      <c r="Q275" s="64" t="e">
        <f t="shared" si="37"/>
        <v>#DIV/0!</v>
      </c>
      <c r="R275" s="64" t="e">
        <f t="shared" si="38"/>
        <v>#DIV/0!</v>
      </c>
      <c r="S275" s="67" t="e">
        <f t="shared" si="34"/>
        <v>#DIV/0!</v>
      </c>
      <c r="T275" s="64" t="e">
        <f t="shared" si="35"/>
        <v>#DIV/0!</v>
      </c>
      <c r="U275" s="68" t="e">
        <f t="shared" si="36"/>
        <v>#DIV/0!</v>
      </c>
    </row>
    <row r="276" spans="1:21" x14ac:dyDescent="0.2">
      <c r="A276" s="61" t="s">
        <v>244</v>
      </c>
      <c r="B276" s="62" t="s">
        <v>253</v>
      </c>
      <c r="C276" s="62" t="s">
        <v>681</v>
      </c>
      <c r="D276" s="62" t="s">
        <v>748</v>
      </c>
      <c r="E276" s="63" t="s">
        <v>747</v>
      </c>
      <c r="F276" s="62" t="s">
        <v>257</v>
      </c>
      <c r="G276" s="62" t="s">
        <v>161</v>
      </c>
      <c r="H276" s="62" t="s">
        <v>12</v>
      </c>
      <c r="I276" s="62" t="s">
        <v>157</v>
      </c>
      <c r="J276" s="62"/>
      <c r="K276" s="64">
        <v>20.8</v>
      </c>
      <c r="L276" s="64">
        <f t="shared" si="33"/>
        <v>18.760784313725491</v>
      </c>
      <c r="M276" s="65">
        <f>prodnorm44</f>
        <v>0</v>
      </c>
      <c r="N276" s="66">
        <f>dagwerk44</f>
        <v>0</v>
      </c>
      <c r="O276" s="62" t="s">
        <v>45</v>
      </c>
      <c r="P276" s="67">
        <f>uurtarief44</f>
        <v>0</v>
      </c>
      <c r="Q276" s="64" t="e">
        <f t="shared" si="37"/>
        <v>#DIV/0!</v>
      </c>
      <c r="R276" s="64" t="e">
        <f t="shared" si="38"/>
        <v>#DIV/0!</v>
      </c>
      <c r="S276" s="67" t="e">
        <f t="shared" si="34"/>
        <v>#DIV/0!</v>
      </c>
      <c r="T276" s="64" t="e">
        <f t="shared" si="35"/>
        <v>#DIV/0!</v>
      </c>
      <c r="U276" s="68" t="e">
        <f t="shared" si="36"/>
        <v>#DIV/0!</v>
      </c>
    </row>
    <row r="277" spans="1:21" x14ac:dyDescent="0.2">
      <c r="A277" s="61" t="s">
        <v>244</v>
      </c>
      <c r="B277" s="62" t="s">
        <v>253</v>
      </c>
      <c r="C277" s="62" t="s">
        <v>681</v>
      </c>
      <c r="D277" s="62" t="s">
        <v>749</v>
      </c>
      <c r="E277" s="63" t="s">
        <v>750</v>
      </c>
      <c r="F277" s="62" t="s">
        <v>257</v>
      </c>
      <c r="G277" s="62" t="s">
        <v>187</v>
      </c>
      <c r="H277" s="62" t="s">
        <v>12</v>
      </c>
      <c r="I277" s="62" t="s">
        <v>157</v>
      </c>
      <c r="J277" s="62"/>
      <c r="K277" s="64">
        <v>9.8000000000000007</v>
      </c>
      <c r="L277" s="64">
        <f t="shared" si="33"/>
        <v>8.8392156862745104</v>
      </c>
      <c r="M277" s="65">
        <f>prodnorm67</f>
        <v>0</v>
      </c>
      <c r="N277" s="66">
        <f>dagwerk67</f>
        <v>0</v>
      </c>
      <c r="O277" s="62" t="s">
        <v>45</v>
      </c>
      <c r="P277" s="67">
        <f>uurtarief67</f>
        <v>0</v>
      </c>
      <c r="Q277" s="64" t="e">
        <f t="shared" si="37"/>
        <v>#DIV/0!</v>
      </c>
      <c r="R277" s="64" t="e">
        <f t="shared" si="38"/>
        <v>#DIV/0!</v>
      </c>
      <c r="S277" s="67" t="e">
        <f t="shared" si="34"/>
        <v>#DIV/0!</v>
      </c>
      <c r="T277" s="64" t="e">
        <f t="shared" si="35"/>
        <v>#DIV/0!</v>
      </c>
      <c r="U277" s="68" t="e">
        <f t="shared" si="36"/>
        <v>#DIV/0!</v>
      </c>
    </row>
    <row r="278" spans="1:21" x14ac:dyDescent="0.2">
      <c r="A278" s="61" t="s">
        <v>244</v>
      </c>
      <c r="B278" s="62" t="s">
        <v>253</v>
      </c>
      <c r="C278" s="62" t="s">
        <v>681</v>
      </c>
      <c r="D278" s="62" t="s">
        <v>751</v>
      </c>
      <c r="E278" s="63" t="s">
        <v>744</v>
      </c>
      <c r="F278" s="62" t="s">
        <v>257</v>
      </c>
      <c r="G278" s="62" t="s">
        <v>161</v>
      </c>
      <c r="H278" s="62" t="s">
        <v>17</v>
      </c>
      <c r="I278" s="62" t="s">
        <v>157</v>
      </c>
      <c r="J278" s="62"/>
      <c r="K278" s="64">
        <v>49.1</v>
      </c>
      <c r="L278" s="64">
        <f t="shared" si="33"/>
        <v>22.143137254901962</v>
      </c>
      <c r="M278" s="65">
        <f>prodnorm42</f>
        <v>0</v>
      </c>
      <c r="N278" s="66">
        <f>dagwerk42</f>
        <v>0</v>
      </c>
      <c r="O278" s="62" t="s">
        <v>45</v>
      </c>
      <c r="P278" s="67">
        <f>uurtarief42</f>
        <v>0</v>
      </c>
      <c r="Q278" s="64" t="e">
        <f t="shared" si="37"/>
        <v>#DIV/0!</v>
      </c>
      <c r="R278" s="64" t="e">
        <f t="shared" si="38"/>
        <v>#DIV/0!</v>
      </c>
      <c r="S278" s="67" t="e">
        <f t="shared" si="34"/>
        <v>#DIV/0!</v>
      </c>
      <c r="T278" s="64" t="e">
        <f t="shared" si="35"/>
        <v>#DIV/0!</v>
      </c>
      <c r="U278" s="68" t="e">
        <f t="shared" si="36"/>
        <v>#DIV/0!</v>
      </c>
    </row>
    <row r="279" spans="1:21" x14ac:dyDescent="0.2">
      <c r="A279" s="61" t="s">
        <v>244</v>
      </c>
      <c r="B279" s="62" t="s">
        <v>253</v>
      </c>
      <c r="C279" s="62" t="s">
        <v>681</v>
      </c>
      <c r="D279" s="62" t="s">
        <v>752</v>
      </c>
      <c r="E279" s="63" t="s">
        <v>703</v>
      </c>
      <c r="F279" s="62" t="s">
        <v>257</v>
      </c>
      <c r="G279" s="62" t="s">
        <v>161</v>
      </c>
      <c r="H279" s="62" t="s">
        <v>17</v>
      </c>
      <c r="I279" s="62" t="s">
        <v>157</v>
      </c>
      <c r="J279" s="62"/>
      <c r="K279" s="64">
        <v>4.5999999999999996</v>
      </c>
      <c r="L279" s="64">
        <f t="shared" si="33"/>
        <v>2.0745098039215684</v>
      </c>
      <c r="M279" s="65">
        <f>prodnorm42</f>
        <v>0</v>
      </c>
      <c r="N279" s="66">
        <f>dagwerk42</f>
        <v>0</v>
      </c>
      <c r="O279" s="62" t="s">
        <v>45</v>
      </c>
      <c r="P279" s="67">
        <f>uurtarief42</f>
        <v>0</v>
      </c>
      <c r="Q279" s="64" t="e">
        <f t="shared" si="37"/>
        <v>#DIV/0!</v>
      </c>
      <c r="R279" s="64" t="e">
        <f t="shared" si="38"/>
        <v>#DIV/0!</v>
      </c>
      <c r="S279" s="67" t="e">
        <f t="shared" si="34"/>
        <v>#DIV/0!</v>
      </c>
      <c r="T279" s="64" t="e">
        <f t="shared" si="35"/>
        <v>#DIV/0!</v>
      </c>
      <c r="U279" s="68" t="e">
        <f t="shared" si="36"/>
        <v>#DIV/0!</v>
      </c>
    </row>
    <row r="280" spans="1:21" x14ac:dyDescent="0.2">
      <c r="A280" s="61" t="s">
        <v>244</v>
      </c>
      <c r="B280" s="62" t="s">
        <v>253</v>
      </c>
      <c r="C280" s="62" t="s">
        <v>681</v>
      </c>
      <c r="D280" s="62" t="s">
        <v>753</v>
      </c>
      <c r="E280" s="63" t="s">
        <v>754</v>
      </c>
      <c r="F280" s="62" t="s">
        <v>257</v>
      </c>
      <c r="G280" s="62" t="s">
        <v>161</v>
      </c>
      <c r="H280" s="62" t="s">
        <v>17</v>
      </c>
      <c r="I280" s="62" t="s">
        <v>157</v>
      </c>
      <c r="J280" s="62"/>
      <c r="K280" s="64">
        <v>21.3</v>
      </c>
      <c r="L280" s="64">
        <f t="shared" si="33"/>
        <v>9.6058823529411761</v>
      </c>
      <c r="M280" s="65">
        <f>prodnorm42</f>
        <v>0</v>
      </c>
      <c r="N280" s="66">
        <f>dagwerk42</f>
        <v>0</v>
      </c>
      <c r="O280" s="62" t="s">
        <v>45</v>
      </c>
      <c r="P280" s="67">
        <f>uurtarief42</f>
        <v>0</v>
      </c>
      <c r="Q280" s="64" t="e">
        <f t="shared" si="37"/>
        <v>#DIV/0!</v>
      </c>
      <c r="R280" s="64" t="e">
        <f t="shared" si="38"/>
        <v>#DIV/0!</v>
      </c>
      <c r="S280" s="67" t="e">
        <f t="shared" si="34"/>
        <v>#DIV/0!</v>
      </c>
      <c r="T280" s="64" t="e">
        <f t="shared" si="35"/>
        <v>#DIV/0!</v>
      </c>
      <c r="U280" s="68" t="e">
        <f t="shared" si="36"/>
        <v>#DIV/0!</v>
      </c>
    </row>
    <row r="281" spans="1:21" x14ac:dyDescent="0.2">
      <c r="A281" s="61" t="s">
        <v>244</v>
      </c>
      <c r="B281" s="62" t="s">
        <v>253</v>
      </c>
      <c r="C281" s="62" t="s">
        <v>681</v>
      </c>
      <c r="D281" s="62" t="s">
        <v>755</v>
      </c>
      <c r="E281" s="63" t="s">
        <v>756</v>
      </c>
      <c r="F281" s="62" t="s">
        <v>387</v>
      </c>
      <c r="G281" s="62" t="s">
        <v>163</v>
      </c>
      <c r="H281" s="62" t="s">
        <v>17</v>
      </c>
      <c r="I281" s="62" t="s">
        <v>157</v>
      </c>
      <c r="J281" s="62"/>
      <c r="K281" s="64">
        <v>13.4</v>
      </c>
      <c r="L281" s="64">
        <f t="shared" si="33"/>
        <v>6.0431372549019606</v>
      </c>
      <c r="M281" s="65">
        <f>prodnorm48</f>
        <v>0</v>
      </c>
      <c r="N281" s="66">
        <f>dagwerk48</f>
        <v>0</v>
      </c>
      <c r="O281" s="62" t="s">
        <v>45</v>
      </c>
      <c r="P281" s="67">
        <f>uurtarief48</f>
        <v>0</v>
      </c>
      <c r="Q281" s="64" t="e">
        <f t="shared" si="37"/>
        <v>#DIV/0!</v>
      </c>
      <c r="R281" s="64" t="e">
        <f t="shared" si="38"/>
        <v>#DIV/0!</v>
      </c>
      <c r="S281" s="67" t="e">
        <f t="shared" si="34"/>
        <v>#DIV/0!</v>
      </c>
      <c r="T281" s="64" t="e">
        <f t="shared" si="35"/>
        <v>#DIV/0!</v>
      </c>
      <c r="U281" s="68" t="e">
        <f t="shared" si="36"/>
        <v>#DIV/0!</v>
      </c>
    </row>
    <row r="282" spans="1:21" x14ac:dyDescent="0.2">
      <c r="A282" s="61" t="s">
        <v>244</v>
      </c>
      <c r="B282" s="62" t="s">
        <v>253</v>
      </c>
      <c r="C282" s="62" t="s">
        <v>681</v>
      </c>
      <c r="D282" s="62" t="s">
        <v>757</v>
      </c>
      <c r="E282" s="63" t="s">
        <v>703</v>
      </c>
      <c r="F282" s="62" t="s">
        <v>257</v>
      </c>
      <c r="G282" s="62" t="s">
        <v>161</v>
      </c>
      <c r="H282" s="62" t="s">
        <v>17</v>
      </c>
      <c r="I282" s="62" t="s">
        <v>157</v>
      </c>
      <c r="J282" s="62"/>
      <c r="K282" s="64">
        <v>5.5</v>
      </c>
      <c r="L282" s="64">
        <f t="shared" si="33"/>
        <v>2.4803921568627452</v>
      </c>
      <c r="M282" s="65">
        <f>prodnorm42</f>
        <v>0</v>
      </c>
      <c r="N282" s="66">
        <f>dagwerk42</f>
        <v>0</v>
      </c>
      <c r="O282" s="62" t="s">
        <v>45</v>
      </c>
      <c r="P282" s="67">
        <f>uurtarief42</f>
        <v>0</v>
      </c>
      <c r="Q282" s="64" t="e">
        <f t="shared" si="37"/>
        <v>#DIV/0!</v>
      </c>
      <c r="R282" s="64" t="e">
        <f t="shared" si="38"/>
        <v>#DIV/0!</v>
      </c>
      <c r="S282" s="67" t="e">
        <f t="shared" si="34"/>
        <v>#DIV/0!</v>
      </c>
      <c r="T282" s="64" t="e">
        <f t="shared" si="35"/>
        <v>#DIV/0!</v>
      </c>
      <c r="U282" s="68" t="e">
        <f t="shared" si="36"/>
        <v>#DIV/0!</v>
      </c>
    </row>
    <row r="283" spans="1:21" x14ac:dyDescent="0.2">
      <c r="A283" s="61" t="s">
        <v>244</v>
      </c>
      <c r="B283" s="62" t="s">
        <v>253</v>
      </c>
      <c r="C283" s="62" t="s">
        <v>681</v>
      </c>
      <c r="D283" s="62" t="s">
        <v>758</v>
      </c>
      <c r="E283" s="63" t="s">
        <v>759</v>
      </c>
      <c r="F283" s="62" t="s">
        <v>257</v>
      </c>
      <c r="G283" s="62" t="s">
        <v>161</v>
      </c>
      <c r="H283" s="62" t="s">
        <v>17</v>
      </c>
      <c r="I283" s="62" t="s">
        <v>157</v>
      </c>
      <c r="J283" s="62"/>
      <c r="K283" s="64">
        <v>16.399999999999999</v>
      </c>
      <c r="L283" s="64">
        <f t="shared" si="33"/>
        <v>7.3960784313725485</v>
      </c>
      <c r="M283" s="65">
        <f>prodnorm42</f>
        <v>0</v>
      </c>
      <c r="N283" s="66">
        <f>dagwerk42</f>
        <v>0</v>
      </c>
      <c r="O283" s="62" t="s">
        <v>45</v>
      </c>
      <c r="P283" s="67">
        <f>uurtarief42</f>
        <v>0</v>
      </c>
      <c r="Q283" s="64" t="e">
        <f t="shared" si="37"/>
        <v>#DIV/0!</v>
      </c>
      <c r="R283" s="64" t="e">
        <f t="shared" si="38"/>
        <v>#DIV/0!</v>
      </c>
      <c r="S283" s="67" t="e">
        <f t="shared" si="34"/>
        <v>#DIV/0!</v>
      </c>
      <c r="T283" s="64" t="e">
        <f t="shared" si="35"/>
        <v>#DIV/0!</v>
      </c>
      <c r="U283" s="68" t="e">
        <f t="shared" si="36"/>
        <v>#DIV/0!</v>
      </c>
    </row>
    <row r="284" spans="1:21" x14ac:dyDescent="0.2">
      <c r="A284" s="61" t="s">
        <v>244</v>
      </c>
      <c r="B284" s="62" t="s">
        <v>253</v>
      </c>
      <c r="C284" s="62" t="s">
        <v>681</v>
      </c>
      <c r="D284" s="62" t="s">
        <v>760</v>
      </c>
      <c r="E284" s="63" t="s">
        <v>761</v>
      </c>
      <c r="F284" s="62" t="s">
        <v>249</v>
      </c>
      <c r="G284" s="62" t="s">
        <v>201</v>
      </c>
      <c r="H284" s="62" t="s">
        <v>12</v>
      </c>
      <c r="I284" s="62" t="s">
        <v>157</v>
      </c>
      <c r="J284" s="62"/>
      <c r="K284" s="64">
        <v>8.5</v>
      </c>
      <c r="L284" s="64">
        <f t="shared" si="33"/>
        <v>7.666666666666667</v>
      </c>
      <c r="M284" s="65">
        <f>prodnorm77</f>
        <v>0</v>
      </c>
      <c r="N284" s="66">
        <f>dagwerk77</f>
        <v>0</v>
      </c>
      <c r="O284" s="62" t="s">
        <v>45</v>
      </c>
      <c r="P284" s="67">
        <f>uurtarief77</f>
        <v>0</v>
      </c>
      <c r="Q284" s="64" t="e">
        <f t="shared" si="37"/>
        <v>#DIV/0!</v>
      </c>
      <c r="R284" s="64" t="e">
        <f t="shared" si="38"/>
        <v>#DIV/0!</v>
      </c>
      <c r="S284" s="67" t="e">
        <f t="shared" si="34"/>
        <v>#DIV/0!</v>
      </c>
      <c r="T284" s="64" t="e">
        <f t="shared" si="35"/>
        <v>#DIV/0!</v>
      </c>
      <c r="U284" s="68" t="e">
        <f t="shared" si="36"/>
        <v>#DIV/0!</v>
      </c>
    </row>
    <row r="285" spans="1:21" x14ac:dyDescent="0.2">
      <c r="A285" s="61" t="s">
        <v>244</v>
      </c>
      <c r="B285" s="62" t="s">
        <v>253</v>
      </c>
      <c r="C285" s="62" t="s">
        <v>681</v>
      </c>
      <c r="D285" s="62" t="s">
        <v>760</v>
      </c>
      <c r="E285" s="63" t="s">
        <v>761</v>
      </c>
      <c r="F285" s="62" t="s">
        <v>249</v>
      </c>
      <c r="G285" s="62" t="s">
        <v>203</v>
      </c>
      <c r="H285" s="62" t="s">
        <v>11</v>
      </c>
      <c r="I285" s="62" t="s">
        <v>157</v>
      </c>
      <c r="J285" s="62"/>
      <c r="K285" s="64">
        <v>8.5</v>
      </c>
      <c r="L285" s="64">
        <f t="shared" si="33"/>
        <v>8.5</v>
      </c>
      <c r="M285" s="65">
        <f>prodnorm80</f>
        <v>0</v>
      </c>
      <c r="N285" s="66">
        <f>dagwerk80</f>
        <v>0</v>
      </c>
      <c r="O285" s="62" t="s">
        <v>45</v>
      </c>
      <c r="P285" s="67">
        <f>uurtarief80</f>
        <v>0</v>
      </c>
      <c r="Q285" s="64" t="e">
        <f t="shared" si="37"/>
        <v>#DIV/0!</v>
      </c>
      <c r="R285" s="64" t="e">
        <f t="shared" si="38"/>
        <v>#DIV/0!</v>
      </c>
      <c r="S285" s="67" t="e">
        <f t="shared" si="34"/>
        <v>#DIV/0!</v>
      </c>
      <c r="T285" s="64" t="e">
        <f t="shared" si="35"/>
        <v>#DIV/0!</v>
      </c>
      <c r="U285" s="68" t="e">
        <f t="shared" si="36"/>
        <v>#DIV/0!</v>
      </c>
    </row>
    <row r="286" spans="1:21" x14ac:dyDescent="0.2">
      <c r="A286" s="61" t="s">
        <v>244</v>
      </c>
      <c r="B286" s="62" t="s">
        <v>253</v>
      </c>
      <c r="C286" s="62" t="s">
        <v>681</v>
      </c>
      <c r="D286" s="62" t="s">
        <v>760</v>
      </c>
      <c r="E286" s="63" t="s">
        <v>762</v>
      </c>
      <c r="F286" s="62" t="s">
        <v>249</v>
      </c>
      <c r="G286" s="62" t="s">
        <v>201</v>
      </c>
      <c r="H286" s="62" t="s">
        <v>12</v>
      </c>
      <c r="I286" s="62" t="s">
        <v>157</v>
      </c>
      <c r="J286" s="62"/>
      <c r="K286" s="64">
        <v>8.5</v>
      </c>
      <c r="L286" s="64">
        <f t="shared" si="33"/>
        <v>7.666666666666667</v>
      </c>
      <c r="M286" s="65">
        <f>prodnorm77</f>
        <v>0</v>
      </c>
      <c r="N286" s="66">
        <f>dagwerk77</f>
        <v>0</v>
      </c>
      <c r="O286" s="62" t="s">
        <v>45</v>
      </c>
      <c r="P286" s="67">
        <f>uurtarief77</f>
        <v>0</v>
      </c>
      <c r="Q286" s="64" t="e">
        <f t="shared" si="37"/>
        <v>#DIV/0!</v>
      </c>
      <c r="R286" s="64" t="e">
        <f t="shared" si="38"/>
        <v>#DIV/0!</v>
      </c>
      <c r="S286" s="67" t="e">
        <f t="shared" si="34"/>
        <v>#DIV/0!</v>
      </c>
      <c r="T286" s="64" t="e">
        <f t="shared" si="35"/>
        <v>#DIV/0!</v>
      </c>
      <c r="U286" s="68" t="e">
        <f t="shared" si="36"/>
        <v>#DIV/0!</v>
      </c>
    </row>
    <row r="287" spans="1:21" x14ac:dyDescent="0.2">
      <c r="A287" s="61" t="s">
        <v>244</v>
      </c>
      <c r="B287" s="62" t="s">
        <v>253</v>
      </c>
      <c r="C287" s="62" t="s">
        <v>681</v>
      </c>
      <c r="D287" s="62" t="s">
        <v>760</v>
      </c>
      <c r="E287" s="63" t="s">
        <v>762</v>
      </c>
      <c r="F287" s="62" t="s">
        <v>249</v>
      </c>
      <c r="G287" s="62" t="s">
        <v>203</v>
      </c>
      <c r="H287" s="62" t="s">
        <v>11</v>
      </c>
      <c r="I287" s="62" t="s">
        <v>157</v>
      </c>
      <c r="J287" s="62"/>
      <c r="K287" s="64">
        <v>8.5</v>
      </c>
      <c r="L287" s="64">
        <f t="shared" si="33"/>
        <v>8.5</v>
      </c>
      <c r="M287" s="65">
        <f>prodnorm80</f>
        <v>0</v>
      </c>
      <c r="N287" s="66">
        <f>dagwerk80</f>
        <v>0</v>
      </c>
      <c r="O287" s="62" t="s">
        <v>45</v>
      </c>
      <c r="P287" s="67">
        <f>uurtarief80</f>
        <v>0</v>
      </c>
      <c r="Q287" s="64" t="e">
        <f t="shared" si="37"/>
        <v>#DIV/0!</v>
      </c>
      <c r="R287" s="64" t="e">
        <f t="shared" si="38"/>
        <v>#DIV/0!</v>
      </c>
      <c r="S287" s="67" t="e">
        <f t="shared" si="34"/>
        <v>#DIV/0!</v>
      </c>
      <c r="T287" s="64" t="e">
        <f t="shared" si="35"/>
        <v>#DIV/0!</v>
      </c>
      <c r="U287" s="68" t="e">
        <f t="shared" si="36"/>
        <v>#DIV/0!</v>
      </c>
    </row>
    <row r="288" spans="1:21" x14ac:dyDescent="0.2">
      <c r="A288" s="61" t="s">
        <v>244</v>
      </c>
      <c r="B288" s="62" t="s">
        <v>253</v>
      </c>
      <c r="C288" s="62" t="s">
        <v>681</v>
      </c>
      <c r="D288" s="62" t="s">
        <v>763</v>
      </c>
      <c r="E288" s="63" t="s">
        <v>764</v>
      </c>
      <c r="F288" s="62" t="s">
        <v>257</v>
      </c>
      <c r="G288" s="62" t="s">
        <v>161</v>
      </c>
      <c r="H288" s="62" t="s">
        <v>17</v>
      </c>
      <c r="I288" s="62" t="s">
        <v>157</v>
      </c>
      <c r="J288" s="62"/>
      <c r="K288" s="64">
        <v>14</v>
      </c>
      <c r="L288" s="64">
        <f t="shared" si="33"/>
        <v>6.3137254901960782</v>
      </c>
      <c r="M288" s="65">
        <f>prodnorm42</f>
        <v>0</v>
      </c>
      <c r="N288" s="66">
        <f>dagwerk42</f>
        <v>0</v>
      </c>
      <c r="O288" s="62" t="s">
        <v>45</v>
      </c>
      <c r="P288" s="67">
        <f>uurtarief42</f>
        <v>0</v>
      </c>
      <c r="Q288" s="64" t="e">
        <f t="shared" si="37"/>
        <v>#DIV/0!</v>
      </c>
      <c r="R288" s="64" t="e">
        <f t="shared" si="38"/>
        <v>#DIV/0!</v>
      </c>
      <c r="S288" s="67" t="e">
        <f t="shared" si="34"/>
        <v>#DIV/0!</v>
      </c>
      <c r="T288" s="64" t="e">
        <f t="shared" si="35"/>
        <v>#DIV/0!</v>
      </c>
      <c r="U288" s="68" t="e">
        <f t="shared" si="36"/>
        <v>#DIV/0!</v>
      </c>
    </row>
    <row r="289" spans="1:21" x14ac:dyDescent="0.2">
      <c r="A289" s="61" t="s">
        <v>244</v>
      </c>
      <c r="B289" s="62" t="s">
        <v>253</v>
      </c>
      <c r="C289" s="62" t="s">
        <v>681</v>
      </c>
      <c r="D289" s="62" t="s">
        <v>765</v>
      </c>
      <c r="E289" s="63" t="s">
        <v>766</v>
      </c>
      <c r="F289" s="62" t="s">
        <v>257</v>
      </c>
      <c r="G289" s="62" t="s">
        <v>161</v>
      </c>
      <c r="H289" s="62" t="s">
        <v>12</v>
      </c>
      <c r="I289" s="62" t="s">
        <v>157</v>
      </c>
      <c r="J289" s="62"/>
      <c r="K289" s="64">
        <v>21</v>
      </c>
      <c r="L289" s="64">
        <f t="shared" si="33"/>
        <v>18.941176470588236</v>
      </c>
      <c r="M289" s="65">
        <f>prodnorm44</f>
        <v>0</v>
      </c>
      <c r="N289" s="66">
        <f>dagwerk44</f>
        <v>0</v>
      </c>
      <c r="O289" s="62" t="s">
        <v>45</v>
      </c>
      <c r="P289" s="67">
        <f>uurtarief44</f>
        <v>0</v>
      </c>
      <c r="Q289" s="64" t="e">
        <f t="shared" si="37"/>
        <v>#DIV/0!</v>
      </c>
      <c r="R289" s="64" t="e">
        <f t="shared" si="38"/>
        <v>#DIV/0!</v>
      </c>
      <c r="S289" s="67" t="e">
        <f t="shared" si="34"/>
        <v>#DIV/0!</v>
      </c>
      <c r="T289" s="64" t="e">
        <f t="shared" si="35"/>
        <v>#DIV/0!</v>
      </c>
      <c r="U289" s="68" t="e">
        <f t="shared" si="36"/>
        <v>#DIV/0!</v>
      </c>
    </row>
    <row r="290" spans="1:21" x14ac:dyDescent="0.2">
      <c r="A290" s="61" t="s">
        <v>244</v>
      </c>
      <c r="B290" s="62" t="s">
        <v>253</v>
      </c>
      <c r="C290" s="62" t="s">
        <v>681</v>
      </c>
      <c r="D290" s="62" t="s">
        <v>767</v>
      </c>
      <c r="E290" s="63" t="s">
        <v>768</v>
      </c>
      <c r="F290" s="62" t="s">
        <v>257</v>
      </c>
      <c r="G290" s="62" t="s">
        <v>207</v>
      </c>
      <c r="H290" s="62" t="s">
        <v>17</v>
      </c>
      <c r="I290" s="62" t="s">
        <v>157</v>
      </c>
      <c r="J290" s="62"/>
      <c r="K290" s="64">
        <v>42.9</v>
      </c>
      <c r="L290" s="64">
        <f t="shared" si="33"/>
        <v>19.347058823529412</v>
      </c>
      <c r="M290" s="65">
        <f>prodnorm84</f>
        <v>0</v>
      </c>
      <c r="N290" s="66">
        <f>dagwerk84</f>
        <v>0</v>
      </c>
      <c r="O290" s="62" t="s">
        <v>45</v>
      </c>
      <c r="P290" s="67">
        <f>uurtarief84</f>
        <v>0</v>
      </c>
      <c r="Q290" s="64" t="e">
        <f t="shared" si="37"/>
        <v>#DIV/0!</v>
      </c>
      <c r="R290" s="64" t="e">
        <f t="shared" si="38"/>
        <v>#DIV/0!</v>
      </c>
      <c r="S290" s="67" t="e">
        <f t="shared" si="34"/>
        <v>#DIV/0!</v>
      </c>
      <c r="T290" s="64" t="e">
        <f t="shared" si="35"/>
        <v>#DIV/0!</v>
      </c>
      <c r="U290" s="68" t="e">
        <f t="shared" si="36"/>
        <v>#DIV/0!</v>
      </c>
    </row>
    <row r="291" spans="1:21" x14ac:dyDescent="0.2">
      <c r="A291" s="61" t="s">
        <v>244</v>
      </c>
      <c r="B291" s="62" t="s">
        <v>253</v>
      </c>
      <c r="C291" s="62" t="s">
        <v>681</v>
      </c>
      <c r="D291" s="62" t="s">
        <v>769</v>
      </c>
      <c r="E291" s="63" t="s">
        <v>770</v>
      </c>
      <c r="F291" s="62" t="s">
        <v>257</v>
      </c>
      <c r="G291" s="62" t="s">
        <v>161</v>
      </c>
      <c r="H291" s="62" t="s">
        <v>17</v>
      </c>
      <c r="I291" s="62" t="s">
        <v>157</v>
      </c>
      <c r="J291" s="62"/>
      <c r="K291" s="64">
        <v>27.9</v>
      </c>
      <c r="L291" s="64">
        <f t="shared" si="33"/>
        <v>12.58235294117647</v>
      </c>
      <c r="M291" s="65">
        <f>prodnorm42</f>
        <v>0</v>
      </c>
      <c r="N291" s="66">
        <f>dagwerk42</f>
        <v>0</v>
      </c>
      <c r="O291" s="62" t="s">
        <v>45</v>
      </c>
      <c r="P291" s="67">
        <f>uurtarief42</f>
        <v>0</v>
      </c>
      <c r="Q291" s="64" t="e">
        <f t="shared" si="37"/>
        <v>#DIV/0!</v>
      </c>
      <c r="R291" s="64" t="e">
        <f t="shared" si="38"/>
        <v>#DIV/0!</v>
      </c>
      <c r="S291" s="67" t="e">
        <f t="shared" si="34"/>
        <v>#DIV/0!</v>
      </c>
      <c r="T291" s="64" t="e">
        <f t="shared" si="35"/>
        <v>#DIV/0!</v>
      </c>
      <c r="U291" s="68" t="e">
        <f t="shared" si="36"/>
        <v>#DIV/0!</v>
      </c>
    </row>
    <row r="292" spans="1:21" x14ac:dyDescent="0.2">
      <c r="A292" s="61" t="s">
        <v>244</v>
      </c>
      <c r="B292" s="62" t="s">
        <v>253</v>
      </c>
      <c r="C292" s="62" t="s">
        <v>681</v>
      </c>
      <c r="D292" s="62" t="s">
        <v>771</v>
      </c>
      <c r="E292" s="63" t="s">
        <v>697</v>
      </c>
      <c r="F292" s="62" t="s">
        <v>257</v>
      </c>
      <c r="G292" s="62" t="s">
        <v>187</v>
      </c>
      <c r="H292" s="62" t="s">
        <v>12</v>
      </c>
      <c r="I292" s="62" t="s">
        <v>157</v>
      </c>
      <c r="J292" s="62"/>
      <c r="K292" s="64">
        <v>39</v>
      </c>
      <c r="L292" s="64">
        <f t="shared" si="33"/>
        <v>35.176470588235297</v>
      </c>
      <c r="M292" s="65">
        <f>prodnorm67</f>
        <v>0</v>
      </c>
      <c r="N292" s="66">
        <f>dagwerk67</f>
        <v>0</v>
      </c>
      <c r="O292" s="62" t="s">
        <v>45</v>
      </c>
      <c r="P292" s="67">
        <f>uurtarief67</f>
        <v>0</v>
      </c>
      <c r="Q292" s="64" t="e">
        <f t="shared" si="37"/>
        <v>#DIV/0!</v>
      </c>
      <c r="R292" s="64" t="e">
        <f t="shared" si="38"/>
        <v>#DIV/0!</v>
      </c>
      <c r="S292" s="67" t="e">
        <f t="shared" si="34"/>
        <v>#DIV/0!</v>
      </c>
      <c r="T292" s="64" t="e">
        <f t="shared" si="35"/>
        <v>#DIV/0!</v>
      </c>
      <c r="U292" s="68" t="e">
        <f t="shared" si="36"/>
        <v>#DIV/0!</v>
      </c>
    </row>
    <row r="293" spans="1:21" x14ac:dyDescent="0.2">
      <c r="A293" s="61" t="s">
        <v>244</v>
      </c>
      <c r="B293" s="62" t="s">
        <v>253</v>
      </c>
      <c r="C293" s="62" t="s">
        <v>681</v>
      </c>
      <c r="D293" s="62" t="s">
        <v>772</v>
      </c>
      <c r="E293" s="63" t="s">
        <v>756</v>
      </c>
      <c r="F293" s="62" t="s">
        <v>257</v>
      </c>
      <c r="G293" s="62" t="s">
        <v>161</v>
      </c>
      <c r="H293" s="62" t="s">
        <v>17</v>
      </c>
      <c r="I293" s="62" t="s">
        <v>157</v>
      </c>
      <c r="J293" s="62"/>
      <c r="K293" s="64">
        <v>25.8</v>
      </c>
      <c r="L293" s="64">
        <f t="shared" si="33"/>
        <v>11.63529411764706</v>
      </c>
      <c r="M293" s="65">
        <f>prodnorm42</f>
        <v>0</v>
      </c>
      <c r="N293" s="66">
        <f>dagwerk42</f>
        <v>0</v>
      </c>
      <c r="O293" s="62" t="s">
        <v>45</v>
      </c>
      <c r="P293" s="67">
        <f>uurtarief42</f>
        <v>0</v>
      </c>
      <c r="Q293" s="64" t="e">
        <f t="shared" si="37"/>
        <v>#DIV/0!</v>
      </c>
      <c r="R293" s="64" t="e">
        <f t="shared" si="38"/>
        <v>#DIV/0!</v>
      </c>
      <c r="S293" s="67" t="e">
        <f t="shared" si="34"/>
        <v>#DIV/0!</v>
      </c>
      <c r="T293" s="64" t="e">
        <f t="shared" si="35"/>
        <v>#DIV/0!</v>
      </c>
      <c r="U293" s="68" t="e">
        <f t="shared" si="36"/>
        <v>#DIV/0!</v>
      </c>
    </row>
    <row r="294" spans="1:21" x14ac:dyDescent="0.2">
      <c r="A294" s="61" t="s">
        <v>244</v>
      </c>
      <c r="B294" s="62" t="s">
        <v>253</v>
      </c>
      <c r="C294" s="62" t="s">
        <v>681</v>
      </c>
      <c r="D294" s="62" t="s">
        <v>773</v>
      </c>
      <c r="E294" s="63" t="s">
        <v>306</v>
      </c>
      <c r="F294" s="62" t="s">
        <v>289</v>
      </c>
      <c r="G294" s="62" t="s">
        <v>205</v>
      </c>
      <c r="H294" s="62" t="s">
        <v>22</v>
      </c>
      <c r="I294" s="62" t="s">
        <v>157</v>
      </c>
      <c r="J294" s="62"/>
      <c r="K294" s="64">
        <v>16.3</v>
      </c>
      <c r="L294" s="64">
        <f t="shared" si="33"/>
        <v>3.2600000000000002</v>
      </c>
      <c r="M294" s="65">
        <f>prodnorm83</f>
        <v>0</v>
      </c>
      <c r="N294" s="66">
        <f>dagwerk83</f>
        <v>0</v>
      </c>
      <c r="O294" s="62" t="s">
        <v>45</v>
      </c>
      <c r="P294" s="67">
        <f>uurtarief83</f>
        <v>0</v>
      </c>
      <c r="Q294" s="64" t="e">
        <f t="shared" si="37"/>
        <v>#DIV/0!</v>
      </c>
      <c r="R294" s="64" t="e">
        <f t="shared" si="38"/>
        <v>#DIV/0!</v>
      </c>
      <c r="S294" s="67" t="e">
        <f t="shared" si="34"/>
        <v>#DIV/0!</v>
      </c>
      <c r="T294" s="64" t="e">
        <f t="shared" si="35"/>
        <v>#DIV/0!</v>
      </c>
      <c r="U294" s="68" t="e">
        <f t="shared" si="36"/>
        <v>#DIV/0!</v>
      </c>
    </row>
    <row r="295" spans="1:21" ht="25.5" x14ac:dyDescent="0.2">
      <c r="A295" s="61" t="s">
        <v>244</v>
      </c>
      <c r="B295" s="62" t="s">
        <v>253</v>
      </c>
      <c r="C295" s="62" t="s">
        <v>681</v>
      </c>
      <c r="D295" s="62" t="s">
        <v>774</v>
      </c>
      <c r="E295" s="63" t="s">
        <v>775</v>
      </c>
      <c r="F295" s="62" t="s">
        <v>387</v>
      </c>
      <c r="G295" s="62" t="s">
        <v>163</v>
      </c>
      <c r="H295" s="62" t="s">
        <v>17</v>
      </c>
      <c r="I295" s="62" t="s">
        <v>157</v>
      </c>
      <c r="J295" s="62"/>
      <c r="K295" s="64">
        <v>19.399999999999999</v>
      </c>
      <c r="L295" s="64">
        <f t="shared" si="33"/>
        <v>8.7490196078431364</v>
      </c>
      <c r="M295" s="65">
        <f>prodnorm48</f>
        <v>0</v>
      </c>
      <c r="N295" s="66">
        <f>dagwerk48</f>
        <v>0</v>
      </c>
      <c r="O295" s="62" t="s">
        <v>45</v>
      </c>
      <c r="P295" s="67">
        <f>uurtarief48</f>
        <v>0</v>
      </c>
      <c r="Q295" s="64" t="e">
        <f t="shared" si="37"/>
        <v>#DIV/0!</v>
      </c>
      <c r="R295" s="64" t="e">
        <f t="shared" si="38"/>
        <v>#DIV/0!</v>
      </c>
      <c r="S295" s="67" t="e">
        <f t="shared" si="34"/>
        <v>#DIV/0!</v>
      </c>
      <c r="T295" s="64" t="e">
        <f t="shared" si="35"/>
        <v>#DIV/0!</v>
      </c>
      <c r="U295" s="68" t="e">
        <f t="shared" si="36"/>
        <v>#DIV/0!</v>
      </c>
    </row>
    <row r="296" spans="1:21" ht="25.5" x14ac:dyDescent="0.2">
      <c r="A296" s="61" t="s">
        <v>244</v>
      </c>
      <c r="B296" s="62" t="s">
        <v>253</v>
      </c>
      <c r="C296" s="62" t="s">
        <v>681</v>
      </c>
      <c r="D296" s="62" t="s">
        <v>776</v>
      </c>
      <c r="E296" s="63" t="s">
        <v>777</v>
      </c>
      <c r="F296" s="62" t="s">
        <v>387</v>
      </c>
      <c r="G296" s="62" t="s">
        <v>163</v>
      </c>
      <c r="H296" s="62" t="s">
        <v>12</v>
      </c>
      <c r="I296" s="62" t="s">
        <v>157</v>
      </c>
      <c r="J296" s="62"/>
      <c r="K296" s="64">
        <v>26.8</v>
      </c>
      <c r="L296" s="64">
        <f t="shared" si="33"/>
        <v>24.172549019607843</v>
      </c>
      <c r="M296" s="65">
        <f>prodnorm50</f>
        <v>0</v>
      </c>
      <c r="N296" s="66">
        <f>dagwerk50</f>
        <v>0</v>
      </c>
      <c r="O296" s="62" t="s">
        <v>45</v>
      </c>
      <c r="P296" s="67">
        <f>uurtarief50</f>
        <v>0</v>
      </c>
      <c r="Q296" s="64" t="e">
        <f t="shared" si="37"/>
        <v>#DIV/0!</v>
      </c>
      <c r="R296" s="64" t="e">
        <f t="shared" si="38"/>
        <v>#DIV/0!</v>
      </c>
      <c r="S296" s="67" t="e">
        <f t="shared" si="34"/>
        <v>#DIV/0!</v>
      </c>
      <c r="T296" s="64" t="e">
        <f t="shared" si="35"/>
        <v>#DIV/0!</v>
      </c>
      <c r="U296" s="68" t="e">
        <f t="shared" si="36"/>
        <v>#DIV/0!</v>
      </c>
    </row>
    <row r="297" spans="1:21" x14ac:dyDescent="0.2">
      <c r="A297" s="61" t="s">
        <v>244</v>
      </c>
      <c r="B297" s="62" t="s">
        <v>253</v>
      </c>
      <c r="C297" s="62" t="s">
        <v>681</v>
      </c>
      <c r="D297" s="62" t="s">
        <v>778</v>
      </c>
      <c r="E297" s="63" t="s">
        <v>779</v>
      </c>
      <c r="F297" s="62" t="s">
        <v>257</v>
      </c>
      <c r="G297" s="62" t="s">
        <v>161</v>
      </c>
      <c r="H297" s="62" t="s">
        <v>17</v>
      </c>
      <c r="I297" s="62" t="s">
        <v>157</v>
      </c>
      <c r="J297" s="62"/>
      <c r="K297" s="64">
        <v>19.600000000000001</v>
      </c>
      <c r="L297" s="64">
        <f t="shared" si="33"/>
        <v>8.8392156862745104</v>
      </c>
      <c r="M297" s="65">
        <f>prodnorm42</f>
        <v>0</v>
      </c>
      <c r="N297" s="66">
        <f>dagwerk42</f>
        <v>0</v>
      </c>
      <c r="O297" s="62" t="s">
        <v>45</v>
      </c>
      <c r="P297" s="67">
        <f>uurtarief42</f>
        <v>0</v>
      </c>
      <c r="Q297" s="64" t="e">
        <f t="shared" si="37"/>
        <v>#DIV/0!</v>
      </c>
      <c r="R297" s="64" t="e">
        <f t="shared" si="38"/>
        <v>#DIV/0!</v>
      </c>
      <c r="S297" s="67" t="e">
        <f t="shared" si="34"/>
        <v>#DIV/0!</v>
      </c>
      <c r="T297" s="64" t="e">
        <f t="shared" si="35"/>
        <v>#DIV/0!</v>
      </c>
      <c r="U297" s="68" t="e">
        <f t="shared" si="36"/>
        <v>#DIV/0!</v>
      </c>
    </row>
    <row r="298" spans="1:21" x14ac:dyDescent="0.2">
      <c r="A298" s="61" t="s">
        <v>244</v>
      </c>
      <c r="B298" s="62" t="s">
        <v>253</v>
      </c>
      <c r="C298" s="62" t="s">
        <v>681</v>
      </c>
      <c r="D298" s="62" t="s">
        <v>780</v>
      </c>
      <c r="E298" s="63" t="s">
        <v>781</v>
      </c>
      <c r="F298" s="62" t="s">
        <v>257</v>
      </c>
      <c r="G298" s="62" t="s">
        <v>207</v>
      </c>
      <c r="H298" s="62" t="s">
        <v>17</v>
      </c>
      <c r="I298" s="62" t="s">
        <v>157</v>
      </c>
      <c r="J298" s="62"/>
      <c r="K298" s="64">
        <v>73.3</v>
      </c>
      <c r="L298" s="64">
        <f t="shared" si="33"/>
        <v>33.056862745098037</v>
      </c>
      <c r="M298" s="65">
        <f>prodnorm84</f>
        <v>0</v>
      </c>
      <c r="N298" s="66">
        <f>dagwerk84</f>
        <v>0</v>
      </c>
      <c r="O298" s="62" t="s">
        <v>45</v>
      </c>
      <c r="P298" s="67">
        <f>uurtarief84</f>
        <v>0</v>
      </c>
      <c r="Q298" s="64" t="e">
        <f t="shared" si="37"/>
        <v>#DIV/0!</v>
      </c>
      <c r="R298" s="64" t="e">
        <f t="shared" si="38"/>
        <v>#DIV/0!</v>
      </c>
      <c r="S298" s="67" t="e">
        <f t="shared" si="34"/>
        <v>#DIV/0!</v>
      </c>
      <c r="T298" s="64" t="e">
        <f t="shared" si="35"/>
        <v>#DIV/0!</v>
      </c>
      <c r="U298" s="68" t="e">
        <f t="shared" si="36"/>
        <v>#DIV/0!</v>
      </c>
    </row>
    <row r="299" spans="1:21" x14ac:dyDescent="0.2">
      <c r="A299" s="61" t="s">
        <v>244</v>
      </c>
      <c r="B299" s="62" t="s">
        <v>253</v>
      </c>
      <c r="C299" s="62" t="s">
        <v>681</v>
      </c>
      <c r="D299" s="62" t="s">
        <v>782</v>
      </c>
      <c r="E299" s="63" t="s">
        <v>783</v>
      </c>
      <c r="F299" s="62" t="s">
        <v>257</v>
      </c>
      <c r="G299" s="62" t="s">
        <v>193</v>
      </c>
      <c r="H299" s="62" t="s">
        <v>12</v>
      </c>
      <c r="I299" s="62" t="s">
        <v>157</v>
      </c>
      <c r="J299" s="62"/>
      <c r="K299" s="64">
        <v>3.3</v>
      </c>
      <c r="L299" s="64">
        <f t="shared" si="33"/>
        <v>2.9764705882352942</v>
      </c>
      <c r="M299" s="65">
        <f>prodnorm72</f>
        <v>0</v>
      </c>
      <c r="N299" s="66">
        <f>dagwerk72</f>
        <v>0</v>
      </c>
      <c r="O299" s="62" t="s">
        <v>45</v>
      </c>
      <c r="P299" s="67">
        <f>uurtarief72</f>
        <v>0</v>
      </c>
      <c r="Q299" s="64" t="e">
        <f t="shared" si="37"/>
        <v>#DIV/0!</v>
      </c>
      <c r="R299" s="64" t="e">
        <f t="shared" si="38"/>
        <v>#DIV/0!</v>
      </c>
      <c r="S299" s="67" t="e">
        <f t="shared" si="34"/>
        <v>#DIV/0!</v>
      </c>
      <c r="T299" s="64" t="e">
        <f t="shared" si="35"/>
        <v>#DIV/0!</v>
      </c>
      <c r="U299" s="68" t="e">
        <f t="shared" si="36"/>
        <v>#DIV/0!</v>
      </c>
    </row>
    <row r="300" spans="1:21" x14ac:dyDescent="0.2">
      <c r="A300" s="61" t="s">
        <v>244</v>
      </c>
      <c r="B300" s="62" t="s">
        <v>253</v>
      </c>
      <c r="C300" s="62" t="s">
        <v>681</v>
      </c>
      <c r="D300" s="62" t="s">
        <v>784</v>
      </c>
      <c r="E300" s="63" t="s">
        <v>785</v>
      </c>
      <c r="F300" s="62" t="s">
        <v>257</v>
      </c>
      <c r="G300" s="62" t="s">
        <v>161</v>
      </c>
      <c r="H300" s="62" t="s">
        <v>17</v>
      </c>
      <c r="I300" s="62" t="s">
        <v>157</v>
      </c>
      <c r="J300" s="62"/>
      <c r="K300" s="64">
        <v>19.100000000000001</v>
      </c>
      <c r="L300" s="64">
        <f t="shared" si="33"/>
        <v>8.6137254901960798</v>
      </c>
      <c r="M300" s="65">
        <f>prodnorm42</f>
        <v>0</v>
      </c>
      <c r="N300" s="66">
        <f>dagwerk42</f>
        <v>0</v>
      </c>
      <c r="O300" s="62" t="s">
        <v>45</v>
      </c>
      <c r="P300" s="67">
        <f>uurtarief42</f>
        <v>0</v>
      </c>
      <c r="Q300" s="64" t="e">
        <f t="shared" si="37"/>
        <v>#DIV/0!</v>
      </c>
      <c r="R300" s="64" t="e">
        <f t="shared" si="38"/>
        <v>#DIV/0!</v>
      </c>
      <c r="S300" s="67" t="e">
        <f t="shared" si="34"/>
        <v>#DIV/0!</v>
      </c>
      <c r="T300" s="64" t="e">
        <f t="shared" si="35"/>
        <v>#DIV/0!</v>
      </c>
      <c r="U300" s="68" t="e">
        <f t="shared" si="36"/>
        <v>#DIV/0!</v>
      </c>
    </row>
    <row r="301" spans="1:21" x14ac:dyDescent="0.2">
      <c r="A301" s="61" t="s">
        <v>244</v>
      </c>
      <c r="B301" s="62" t="s">
        <v>253</v>
      </c>
      <c r="C301" s="62" t="s">
        <v>681</v>
      </c>
      <c r="D301" s="62" t="s">
        <v>786</v>
      </c>
      <c r="E301" s="63" t="s">
        <v>787</v>
      </c>
      <c r="F301" s="62" t="s">
        <v>257</v>
      </c>
      <c r="G301" s="62" t="s">
        <v>161</v>
      </c>
      <c r="H301" s="62" t="s">
        <v>17</v>
      </c>
      <c r="I301" s="62" t="s">
        <v>157</v>
      </c>
      <c r="J301" s="62"/>
      <c r="K301" s="64">
        <v>52.7</v>
      </c>
      <c r="L301" s="64">
        <f t="shared" si="33"/>
        <v>23.766666666666669</v>
      </c>
      <c r="M301" s="65">
        <f>prodnorm42</f>
        <v>0</v>
      </c>
      <c r="N301" s="66">
        <f>dagwerk42</f>
        <v>0</v>
      </c>
      <c r="O301" s="62" t="s">
        <v>45</v>
      </c>
      <c r="P301" s="67">
        <f>uurtarief42</f>
        <v>0</v>
      </c>
      <c r="Q301" s="64" t="e">
        <f t="shared" si="37"/>
        <v>#DIV/0!</v>
      </c>
      <c r="R301" s="64" t="e">
        <f t="shared" si="38"/>
        <v>#DIV/0!</v>
      </c>
      <c r="S301" s="67" t="e">
        <f t="shared" si="34"/>
        <v>#DIV/0!</v>
      </c>
      <c r="T301" s="64" t="e">
        <f t="shared" si="35"/>
        <v>#DIV/0!</v>
      </c>
      <c r="U301" s="68" t="e">
        <f t="shared" si="36"/>
        <v>#DIV/0!</v>
      </c>
    </row>
    <row r="302" spans="1:21" x14ac:dyDescent="0.2">
      <c r="A302" s="61" t="s">
        <v>244</v>
      </c>
      <c r="B302" s="62" t="s">
        <v>253</v>
      </c>
      <c r="C302" s="62" t="s">
        <v>681</v>
      </c>
      <c r="D302" s="62" t="s">
        <v>788</v>
      </c>
      <c r="E302" s="63" t="s">
        <v>789</v>
      </c>
      <c r="F302" s="62" t="s">
        <v>257</v>
      </c>
      <c r="G302" s="62" t="s">
        <v>161</v>
      </c>
      <c r="H302" s="62" t="s">
        <v>17</v>
      </c>
      <c r="I302" s="62" t="s">
        <v>157</v>
      </c>
      <c r="J302" s="62"/>
      <c r="K302" s="64">
        <v>3.2</v>
      </c>
      <c r="L302" s="64">
        <f t="shared" si="33"/>
        <v>1.443137254901961</v>
      </c>
      <c r="M302" s="65">
        <f>prodnorm42</f>
        <v>0</v>
      </c>
      <c r="N302" s="66">
        <f>dagwerk42</f>
        <v>0</v>
      </c>
      <c r="O302" s="62" t="s">
        <v>45</v>
      </c>
      <c r="P302" s="67">
        <f>uurtarief42</f>
        <v>0</v>
      </c>
      <c r="Q302" s="64" t="e">
        <f t="shared" si="37"/>
        <v>#DIV/0!</v>
      </c>
      <c r="R302" s="64" t="e">
        <f t="shared" si="38"/>
        <v>#DIV/0!</v>
      </c>
      <c r="S302" s="67" t="e">
        <f t="shared" si="34"/>
        <v>#DIV/0!</v>
      </c>
      <c r="T302" s="64" t="e">
        <f t="shared" si="35"/>
        <v>#DIV/0!</v>
      </c>
      <c r="U302" s="68" t="e">
        <f t="shared" si="36"/>
        <v>#DIV/0!</v>
      </c>
    </row>
    <row r="303" spans="1:21" ht="25.5" x14ac:dyDescent="0.2">
      <c r="A303" s="61" t="s">
        <v>244</v>
      </c>
      <c r="B303" s="62" t="s">
        <v>253</v>
      </c>
      <c r="C303" s="62" t="s">
        <v>681</v>
      </c>
      <c r="D303" s="62" t="s">
        <v>790</v>
      </c>
      <c r="E303" s="63" t="s">
        <v>791</v>
      </c>
      <c r="F303" s="62" t="s">
        <v>257</v>
      </c>
      <c r="G303" s="62" t="s">
        <v>161</v>
      </c>
      <c r="H303" s="62" t="s">
        <v>17</v>
      </c>
      <c r="I303" s="62" t="s">
        <v>157</v>
      </c>
      <c r="J303" s="62"/>
      <c r="K303" s="64">
        <v>17.2</v>
      </c>
      <c r="L303" s="64">
        <f t="shared" si="33"/>
        <v>7.7568627450980392</v>
      </c>
      <c r="M303" s="65">
        <f>prodnorm42</f>
        <v>0</v>
      </c>
      <c r="N303" s="66">
        <f>dagwerk42</f>
        <v>0</v>
      </c>
      <c r="O303" s="62" t="s">
        <v>45</v>
      </c>
      <c r="P303" s="67">
        <f>uurtarief42</f>
        <v>0</v>
      </c>
      <c r="Q303" s="64" t="e">
        <f t="shared" si="37"/>
        <v>#DIV/0!</v>
      </c>
      <c r="R303" s="64" t="e">
        <f t="shared" si="38"/>
        <v>#DIV/0!</v>
      </c>
      <c r="S303" s="67" t="e">
        <f t="shared" si="34"/>
        <v>#DIV/0!</v>
      </c>
      <c r="T303" s="64" t="e">
        <f t="shared" si="35"/>
        <v>#DIV/0!</v>
      </c>
      <c r="U303" s="68" t="e">
        <f t="shared" si="36"/>
        <v>#DIV/0!</v>
      </c>
    </row>
    <row r="304" spans="1:21" ht="25.5" x14ac:dyDescent="0.2">
      <c r="A304" s="61" t="s">
        <v>244</v>
      </c>
      <c r="B304" s="62" t="s">
        <v>253</v>
      </c>
      <c r="C304" s="62" t="s">
        <v>681</v>
      </c>
      <c r="D304" s="62" t="s">
        <v>792</v>
      </c>
      <c r="E304" s="63" t="s">
        <v>793</v>
      </c>
      <c r="F304" s="62" t="s">
        <v>257</v>
      </c>
      <c r="G304" s="62" t="s">
        <v>161</v>
      </c>
      <c r="H304" s="62" t="s">
        <v>17</v>
      </c>
      <c r="I304" s="62" t="s">
        <v>157</v>
      </c>
      <c r="J304" s="62"/>
      <c r="K304" s="64">
        <v>17.399999999999999</v>
      </c>
      <c r="L304" s="64">
        <f t="shared" si="33"/>
        <v>7.8470588235294114</v>
      </c>
      <c r="M304" s="65">
        <f>prodnorm42</f>
        <v>0</v>
      </c>
      <c r="N304" s="66">
        <f>dagwerk42</f>
        <v>0</v>
      </c>
      <c r="O304" s="62" t="s">
        <v>45</v>
      </c>
      <c r="P304" s="67">
        <f>uurtarief42</f>
        <v>0</v>
      </c>
      <c r="Q304" s="64" t="e">
        <f t="shared" si="37"/>
        <v>#DIV/0!</v>
      </c>
      <c r="R304" s="64" t="e">
        <f t="shared" si="38"/>
        <v>#DIV/0!</v>
      </c>
      <c r="S304" s="67" t="e">
        <f t="shared" si="34"/>
        <v>#DIV/0!</v>
      </c>
      <c r="T304" s="64" t="e">
        <f t="shared" si="35"/>
        <v>#DIV/0!</v>
      </c>
      <c r="U304" s="68" t="e">
        <f t="shared" si="36"/>
        <v>#DIV/0!</v>
      </c>
    </row>
    <row r="305" spans="1:21" x14ac:dyDescent="0.2">
      <c r="A305" s="61" t="s">
        <v>244</v>
      </c>
      <c r="B305" s="62" t="s">
        <v>253</v>
      </c>
      <c r="C305" s="62" t="s">
        <v>681</v>
      </c>
      <c r="D305" s="62" t="s">
        <v>794</v>
      </c>
      <c r="E305" s="63" t="s">
        <v>795</v>
      </c>
      <c r="F305" s="62" t="s">
        <v>387</v>
      </c>
      <c r="G305" s="62" t="s">
        <v>185</v>
      </c>
      <c r="H305" s="62" t="s">
        <v>12</v>
      </c>
      <c r="I305" s="62" t="s">
        <v>157</v>
      </c>
      <c r="J305" s="62"/>
      <c r="K305" s="64">
        <v>157.5</v>
      </c>
      <c r="L305" s="64">
        <f t="shared" si="33"/>
        <v>142.05882352941177</v>
      </c>
      <c r="M305" s="65">
        <f>prodnorm66</f>
        <v>0</v>
      </c>
      <c r="N305" s="66">
        <f>dagwerk66</f>
        <v>0</v>
      </c>
      <c r="O305" s="62" t="s">
        <v>45</v>
      </c>
      <c r="P305" s="67">
        <f>uurtarief66</f>
        <v>0</v>
      </c>
      <c r="Q305" s="64" t="e">
        <f t="shared" si="37"/>
        <v>#DIV/0!</v>
      </c>
      <c r="R305" s="64" t="e">
        <f t="shared" si="38"/>
        <v>#DIV/0!</v>
      </c>
      <c r="S305" s="67" t="e">
        <f t="shared" si="34"/>
        <v>#DIV/0!</v>
      </c>
      <c r="T305" s="64" t="e">
        <f t="shared" si="35"/>
        <v>#DIV/0!</v>
      </c>
      <c r="U305" s="68" t="e">
        <f t="shared" si="36"/>
        <v>#DIV/0!</v>
      </c>
    </row>
    <row r="306" spans="1:21" x14ac:dyDescent="0.2">
      <c r="A306" s="61" t="s">
        <v>244</v>
      </c>
      <c r="B306" s="62" t="s">
        <v>253</v>
      </c>
      <c r="C306" s="62" t="s">
        <v>681</v>
      </c>
      <c r="D306" s="62" t="s">
        <v>796</v>
      </c>
      <c r="E306" s="63" t="s">
        <v>797</v>
      </c>
      <c r="F306" s="62" t="s">
        <v>387</v>
      </c>
      <c r="G306" s="62" t="s">
        <v>159</v>
      </c>
      <c r="H306" s="62" t="s">
        <v>23</v>
      </c>
      <c r="I306" s="62" t="s">
        <v>157</v>
      </c>
      <c r="J306" s="62"/>
      <c r="K306" s="64">
        <v>21.3</v>
      </c>
      <c r="L306" s="64">
        <f t="shared" si="33"/>
        <v>3.8423529411764705</v>
      </c>
      <c r="M306" s="65">
        <f>prodnorm41</f>
        <v>0</v>
      </c>
      <c r="N306" s="66">
        <f>dagwerk41</f>
        <v>0</v>
      </c>
      <c r="O306" s="62" t="s">
        <v>45</v>
      </c>
      <c r="P306" s="67">
        <f>uurtarief41</f>
        <v>0</v>
      </c>
      <c r="Q306" s="64" t="e">
        <f t="shared" si="37"/>
        <v>#DIV/0!</v>
      </c>
      <c r="R306" s="64" t="e">
        <f t="shared" si="38"/>
        <v>#DIV/0!</v>
      </c>
      <c r="S306" s="67" t="e">
        <f t="shared" si="34"/>
        <v>#DIV/0!</v>
      </c>
      <c r="T306" s="64" t="e">
        <f t="shared" si="35"/>
        <v>#DIV/0!</v>
      </c>
      <c r="U306" s="68" t="e">
        <f t="shared" si="36"/>
        <v>#DIV/0!</v>
      </c>
    </row>
    <row r="307" spans="1:21" x14ac:dyDescent="0.2">
      <c r="A307" s="61" t="s">
        <v>244</v>
      </c>
      <c r="B307" s="62" t="s">
        <v>253</v>
      </c>
      <c r="C307" s="62" t="s">
        <v>681</v>
      </c>
      <c r="D307" s="62" t="s">
        <v>798</v>
      </c>
      <c r="E307" s="63" t="s">
        <v>799</v>
      </c>
      <c r="F307" s="62" t="s">
        <v>257</v>
      </c>
      <c r="G307" s="62" t="s">
        <v>181</v>
      </c>
      <c r="H307" s="62" t="s">
        <v>23</v>
      </c>
      <c r="I307" s="62" t="s">
        <v>157</v>
      </c>
      <c r="J307" s="62"/>
      <c r="K307" s="64">
        <v>17.600000000000001</v>
      </c>
      <c r="L307" s="64">
        <f t="shared" si="33"/>
        <v>3.1749019607843141</v>
      </c>
      <c r="M307" s="65">
        <f>prodnorm64</f>
        <v>0</v>
      </c>
      <c r="N307" s="66">
        <f>dagwerk64</f>
        <v>0</v>
      </c>
      <c r="O307" s="62" t="s">
        <v>45</v>
      </c>
      <c r="P307" s="67">
        <f>uurtarief64</f>
        <v>0</v>
      </c>
      <c r="Q307" s="64" t="e">
        <f t="shared" si="37"/>
        <v>#DIV/0!</v>
      </c>
      <c r="R307" s="64" t="e">
        <f t="shared" si="38"/>
        <v>#DIV/0!</v>
      </c>
      <c r="S307" s="67" t="e">
        <f t="shared" si="34"/>
        <v>#DIV/0!</v>
      </c>
      <c r="T307" s="64" t="e">
        <f t="shared" si="35"/>
        <v>#DIV/0!</v>
      </c>
      <c r="U307" s="68" t="e">
        <f t="shared" si="36"/>
        <v>#DIV/0!</v>
      </c>
    </row>
    <row r="308" spans="1:21" x14ac:dyDescent="0.2">
      <c r="A308" s="61" t="s">
        <v>244</v>
      </c>
      <c r="B308" s="62" t="s">
        <v>253</v>
      </c>
      <c r="C308" s="62" t="s">
        <v>681</v>
      </c>
      <c r="D308" s="62" t="s">
        <v>800</v>
      </c>
      <c r="E308" s="63" t="s">
        <v>797</v>
      </c>
      <c r="F308" s="62" t="s">
        <v>387</v>
      </c>
      <c r="G308" s="62" t="s">
        <v>159</v>
      </c>
      <c r="H308" s="62" t="s">
        <v>23</v>
      </c>
      <c r="I308" s="62" t="s">
        <v>157</v>
      </c>
      <c r="J308" s="62"/>
      <c r="K308" s="64">
        <v>51</v>
      </c>
      <c r="L308" s="64">
        <f t="shared" si="33"/>
        <v>9.1999999999999993</v>
      </c>
      <c r="M308" s="65">
        <f>prodnorm41</f>
        <v>0</v>
      </c>
      <c r="N308" s="66">
        <f>dagwerk41</f>
        <v>0</v>
      </c>
      <c r="O308" s="62" t="s">
        <v>45</v>
      </c>
      <c r="P308" s="67">
        <f>uurtarief41</f>
        <v>0</v>
      </c>
      <c r="Q308" s="64" t="e">
        <f t="shared" si="37"/>
        <v>#DIV/0!</v>
      </c>
      <c r="R308" s="64" t="e">
        <f t="shared" si="38"/>
        <v>#DIV/0!</v>
      </c>
      <c r="S308" s="67" t="e">
        <f t="shared" si="34"/>
        <v>#DIV/0!</v>
      </c>
      <c r="T308" s="64" t="e">
        <f t="shared" si="35"/>
        <v>#DIV/0!</v>
      </c>
      <c r="U308" s="68" t="e">
        <f t="shared" si="36"/>
        <v>#DIV/0!</v>
      </c>
    </row>
    <row r="309" spans="1:21" x14ac:dyDescent="0.2">
      <c r="A309" s="61" t="s">
        <v>244</v>
      </c>
      <c r="B309" s="62" t="s">
        <v>253</v>
      </c>
      <c r="C309" s="62" t="s">
        <v>681</v>
      </c>
      <c r="D309" s="62" t="s">
        <v>801</v>
      </c>
      <c r="E309" s="63" t="s">
        <v>802</v>
      </c>
      <c r="F309" s="62" t="s">
        <v>257</v>
      </c>
      <c r="G309" s="62" t="s">
        <v>181</v>
      </c>
      <c r="H309" s="62" t="s">
        <v>23</v>
      </c>
      <c r="I309" s="62" t="s">
        <v>157</v>
      </c>
      <c r="J309" s="62"/>
      <c r="K309" s="64">
        <v>17.8</v>
      </c>
      <c r="L309" s="64">
        <f t="shared" si="33"/>
        <v>3.2109803921568627</v>
      </c>
      <c r="M309" s="65">
        <f>prodnorm64</f>
        <v>0</v>
      </c>
      <c r="N309" s="66">
        <f>dagwerk64</f>
        <v>0</v>
      </c>
      <c r="O309" s="62" t="s">
        <v>45</v>
      </c>
      <c r="P309" s="67">
        <f>uurtarief64</f>
        <v>0</v>
      </c>
      <c r="Q309" s="64" t="e">
        <f t="shared" si="37"/>
        <v>#DIV/0!</v>
      </c>
      <c r="R309" s="64" t="e">
        <f t="shared" si="38"/>
        <v>#DIV/0!</v>
      </c>
      <c r="S309" s="67" t="e">
        <f t="shared" si="34"/>
        <v>#DIV/0!</v>
      </c>
      <c r="T309" s="64" t="e">
        <f t="shared" si="35"/>
        <v>#DIV/0!</v>
      </c>
      <c r="U309" s="68" t="e">
        <f t="shared" si="36"/>
        <v>#DIV/0!</v>
      </c>
    </row>
    <row r="310" spans="1:21" x14ac:dyDescent="0.2">
      <c r="A310" s="61" t="s">
        <v>244</v>
      </c>
      <c r="B310" s="62" t="s">
        <v>253</v>
      </c>
      <c r="C310" s="62" t="s">
        <v>681</v>
      </c>
      <c r="D310" s="62" t="s">
        <v>803</v>
      </c>
      <c r="E310" s="63" t="s">
        <v>804</v>
      </c>
      <c r="F310" s="62" t="s">
        <v>257</v>
      </c>
      <c r="G310" s="62" t="s">
        <v>181</v>
      </c>
      <c r="H310" s="62" t="s">
        <v>23</v>
      </c>
      <c r="I310" s="62" t="s">
        <v>157</v>
      </c>
      <c r="J310" s="62"/>
      <c r="K310" s="64">
        <v>17.899999999999999</v>
      </c>
      <c r="L310" s="64">
        <f t="shared" si="33"/>
        <v>3.2290196078431368</v>
      </c>
      <c r="M310" s="65">
        <f>prodnorm64</f>
        <v>0</v>
      </c>
      <c r="N310" s="66">
        <f>dagwerk64</f>
        <v>0</v>
      </c>
      <c r="O310" s="62" t="s">
        <v>45</v>
      </c>
      <c r="P310" s="67">
        <f>uurtarief64</f>
        <v>0</v>
      </c>
      <c r="Q310" s="64" t="e">
        <f t="shared" si="37"/>
        <v>#DIV/0!</v>
      </c>
      <c r="R310" s="64" t="e">
        <f t="shared" si="38"/>
        <v>#DIV/0!</v>
      </c>
      <c r="S310" s="67" t="e">
        <f t="shared" si="34"/>
        <v>#DIV/0!</v>
      </c>
      <c r="T310" s="64" t="e">
        <f t="shared" si="35"/>
        <v>#DIV/0!</v>
      </c>
      <c r="U310" s="68" t="e">
        <f t="shared" si="36"/>
        <v>#DIV/0!</v>
      </c>
    </row>
    <row r="311" spans="1:21" x14ac:dyDescent="0.2">
      <c r="A311" s="61" t="s">
        <v>244</v>
      </c>
      <c r="B311" s="62" t="s">
        <v>253</v>
      </c>
      <c r="C311" s="62" t="s">
        <v>681</v>
      </c>
      <c r="D311" s="62" t="s">
        <v>805</v>
      </c>
      <c r="E311" s="63" t="s">
        <v>806</v>
      </c>
      <c r="F311" s="62" t="s">
        <v>257</v>
      </c>
      <c r="G311" s="62" t="s">
        <v>161</v>
      </c>
      <c r="H311" s="62" t="s">
        <v>23</v>
      </c>
      <c r="I311" s="62" t="s">
        <v>157</v>
      </c>
      <c r="J311" s="62"/>
      <c r="K311" s="64">
        <v>38.6</v>
      </c>
      <c r="L311" s="64">
        <f t="shared" si="33"/>
        <v>6.9631372549019606</v>
      </c>
      <c r="M311" s="65">
        <f>prodnorm46</f>
        <v>0</v>
      </c>
      <c r="N311" s="66">
        <f>dagwerk46</f>
        <v>0</v>
      </c>
      <c r="O311" s="62" t="s">
        <v>45</v>
      </c>
      <c r="P311" s="67">
        <f>uurtarief46</f>
        <v>0</v>
      </c>
      <c r="Q311" s="64" t="e">
        <f t="shared" si="37"/>
        <v>#DIV/0!</v>
      </c>
      <c r="R311" s="64" t="e">
        <f t="shared" si="38"/>
        <v>#DIV/0!</v>
      </c>
      <c r="S311" s="67" t="e">
        <f t="shared" si="34"/>
        <v>#DIV/0!</v>
      </c>
      <c r="T311" s="64" t="e">
        <f t="shared" si="35"/>
        <v>#DIV/0!</v>
      </c>
      <c r="U311" s="68" t="e">
        <f t="shared" si="36"/>
        <v>#DIV/0!</v>
      </c>
    </row>
    <row r="312" spans="1:21" x14ac:dyDescent="0.2">
      <c r="A312" s="61" t="s">
        <v>244</v>
      </c>
      <c r="B312" s="62" t="s">
        <v>253</v>
      </c>
      <c r="C312" s="62" t="s">
        <v>681</v>
      </c>
      <c r="D312" s="62" t="s">
        <v>807</v>
      </c>
      <c r="E312" s="63" t="s">
        <v>808</v>
      </c>
      <c r="F312" s="62" t="s">
        <v>257</v>
      </c>
      <c r="G312" s="62" t="s">
        <v>181</v>
      </c>
      <c r="H312" s="62" t="s">
        <v>23</v>
      </c>
      <c r="I312" s="62" t="s">
        <v>157</v>
      </c>
      <c r="J312" s="62"/>
      <c r="K312" s="64">
        <v>9</v>
      </c>
      <c r="L312" s="64">
        <f t="shared" si="33"/>
        <v>1.6235294117647059</v>
      </c>
      <c r="M312" s="65">
        <f>prodnorm64</f>
        <v>0</v>
      </c>
      <c r="N312" s="66">
        <f>dagwerk64</f>
        <v>0</v>
      </c>
      <c r="O312" s="62" t="s">
        <v>45</v>
      </c>
      <c r="P312" s="67">
        <f>uurtarief64</f>
        <v>0</v>
      </c>
      <c r="Q312" s="64" t="e">
        <f t="shared" si="37"/>
        <v>#DIV/0!</v>
      </c>
      <c r="R312" s="64" t="e">
        <f t="shared" si="38"/>
        <v>#DIV/0!</v>
      </c>
      <c r="S312" s="67" t="e">
        <f t="shared" si="34"/>
        <v>#DIV/0!</v>
      </c>
      <c r="T312" s="64" t="e">
        <f t="shared" si="35"/>
        <v>#DIV/0!</v>
      </c>
      <c r="U312" s="68" t="e">
        <f t="shared" si="36"/>
        <v>#DIV/0!</v>
      </c>
    </row>
    <row r="313" spans="1:21" x14ac:dyDescent="0.2">
      <c r="A313" s="61" t="s">
        <v>244</v>
      </c>
      <c r="B313" s="62" t="s">
        <v>253</v>
      </c>
      <c r="C313" s="62" t="s">
        <v>681</v>
      </c>
      <c r="D313" s="62" t="s">
        <v>809</v>
      </c>
      <c r="E313" s="63" t="s">
        <v>810</v>
      </c>
      <c r="F313" s="62" t="s">
        <v>257</v>
      </c>
      <c r="G313" s="62" t="s">
        <v>181</v>
      </c>
      <c r="H313" s="62" t="s">
        <v>23</v>
      </c>
      <c r="I313" s="62" t="s">
        <v>157</v>
      </c>
      <c r="J313" s="62"/>
      <c r="K313" s="64">
        <v>19.8</v>
      </c>
      <c r="L313" s="64">
        <f t="shared" si="33"/>
        <v>3.571764705882353</v>
      </c>
      <c r="M313" s="65">
        <f>prodnorm64</f>
        <v>0</v>
      </c>
      <c r="N313" s="66">
        <f>dagwerk64</f>
        <v>0</v>
      </c>
      <c r="O313" s="62" t="s">
        <v>45</v>
      </c>
      <c r="P313" s="67">
        <f>uurtarief64</f>
        <v>0</v>
      </c>
      <c r="Q313" s="64" t="e">
        <f t="shared" si="37"/>
        <v>#DIV/0!</v>
      </c>
      <c r="R313" s="64" t="e">
        <f t="shared" si="38"/>
        <v>#DIV/0!</v>
      </c>
      <c r="S313" s="67" t="e">
        <f t="shared" si="34"/>
        <v>#DIV/0!</v>
      </c>
      <c r="T313" s="64" t="e">
        <f t="shared" si="35"/>
        <v>#DIV/0!</v>
      </c>
      <c r="U313" s="68" t="e">
        <f t="shared" si="36"/>
        <v>#DIV/0!</v>
      </c>
    </row>
    <row r="314" spans="1:21" x14ac:dyDescent="0.2">
      <c r="A314" s="61" t="s">
        <v>244</v>
      </c>
      <c r="B314" s="62" t="s">
        <v>253</v>
      </c>
      <c r="C314" s="62" t="s">
        <v>681</v>
      </c>
      <c r="D314" s="62" t="s">
        <v>811</v>
      </c>
      <c r="E314" s="63" t="s">
        <v>453</v>
      </c>
      <c r="F314" s="62" t="s">
        <v>257</v>
      </c>
      <c r="G314" s="62" t="s">
        <v>205</v>
      </c>
      <c r="H314" s="62" t="s">
        <v>23</v>
      </c>
      <c r="I314" s="62" t="s">
        <v>157</v>
      </c>
      <c r="J314" s="62"/>
      <c r="K314" s="64">
        <v>19.399999999999999</v>
      </c>
      <c r="L314" s="64">
        <f t="shared" si="33"/>
        <v>3.4996078431372548</v>
      </c>
      <c r="M314" s="65">
        <f>prodnorm82</f>
        <v>0</v>
      </c>
      <c r="N314" s="66">
        <f>dagwerk82</f>
        <v>0</v>
      </c>
      <c r="O314" s="62" t="s">
        <v>45</v>
      </c>
      <c r="P314" s="67">
        <f>uurtarief82</f>
        <v>0</v>
      </c>
      <c r="Q314" s="64" t="e">
        <f t="shared" si="37"/>
        <v>#DIV/0!</v>
      </c>
      <c r="R314" s="64" t="e">
        <f t="shared" si="38"/>
        <v>#DIV/0!</v>
      </c>
      <c r="S314" s="67" t="e">
        <f t="shared" si="34"/>
        <v>#DIV/0!</v>
      </c>
      <c r="T314" s="64" t="e">
        <f t="shared" si="35"/>
        <v>#DIV/0!</v>
      </c>
      <c r="U314" s="68" t="e">
        <f t="shared" si="36"/>
        <v>#DIV/0!</v>
      </c>
    </row>
    <row r="315" spans="1:21" x14ac:dyDescent="0.2">
      <c r="A315" s="61" t="s">
        <v>244</v>
      </c>
      <c r="B315" s="62" t="s">
        <v>253</v>
      </c>
      <c r="C315" s="62" t="s">
        <v>681</v>
      </c>
      <c r="D315" s="62" t="s">
        <v>812</v>
      </c>
      <c r="E315" s="63" t="s">
        <v>328</v>
      </c>
      <c r="F315" s="62" t="s">
        <v>257</v>
      </c>
      <c r="G315" s="62" t="s">
        <v>205</v>
      </c>
      <c r="H315" s="62" t="s">
        <v>22</v>
      </c>
      <c r="I315" s="62" t="s">
        <v>157</v>
      </c>
      <c r="J315" s="62"/>
      <c r="K315" s="64">
        <v>31.1</v>
      </c>
      <c r="L315" s="64">
        <f t="shared" si="33"/>
        <v>6.2200000000000006</v>
      </c>
      <c r="M315" s="65">
        <f>prodnorm83</f>
        <v>0</v>
      </c>
      <c r="N315" s="66">
        <f>dagwerk83</f>
        <v>0</v>
      </c>
      <c r="O315" s="62" t="s">
        <v>45</v>
      </c>
      <c r="P315" s="67">
        <f>uurtarief83</f>
        <v>0</v>
      </c>
      <c r="Q315" s="64" t="e">
        <f t="shared" si="37"/>
        <v>#DIV/0!</v>
      </c>
      <c r="R315" s="64" t="e">
        <f t="shared" si="38"/>
        <v>#DIV/0!</v>
      </c>
      <c r="S315" s="67" t="e">
        <f t="shared" si="34"/>
        <v>#DIV/0!</v>
      </c>
      <c r="T315" s="64" t="e">
        <f t="shared" si="35"/>
        <v>#DIV/0!</v>
      </c>
      <c r="U315" s="68" t="e">
        <f t="shared" si="36"/>
        <v>#DIV/0!</v>
      </c>
    </row>
    <row r="316" spans="1:21" x14ac:dyDescent="0.2">
      <c r="A316" s="61" t="s">
        <v>244</v>
      </c>
      <c r="B316" s="62" t="s">
        <v>253</v>
      </c>
      <c r="C316" s="62" t="s">
        <v>681</v>
      </c>
      <c r="D316" s="62" t="s">
        <v>813</v>
      </c>
      <c r="E316" s="63" t="s">
        <v>814</v>
      </c>
      <c r="F316" s="62" t="s">
        <v>594</v>
      </c>
      <c r="G316" s="62" t="s">
        <v>193</v>
      </c>
      <c r="H316" s="62" t="s">
        <v>11</v>
      </c>
      <c r="I316" s="62" t="s">
        <v>157</v>
      </c>
      <c r="J316" s="62"/>
      <c r="K316" s="64">
        <v>28.3</v>
      </c>
      <c r="L316" s="64">
        <f t="shared" si="33"/>
        <v>28.3</v>
      </c>
      <c r="M316" s="65">
        <f>prodnorm73</f>
        <v>0</v>
      </c>
      <c r="N316" s="66">
        <f>dagwerk73</f>
        <v>0</v>
      </c>
      <c r="O316" s="62" t="s">
        <v>45</v>
      </c>
      <c r="P316" s="67">
        <f>uurtarief73</f>
        <v>0</v>
      </c>
      <c r="Q316" s="64" t="e">
        <f t="shared" si="37"/>
        <v>#DIV/0!</v>
      </c>
      <c r="R316" s="64" t="e">
        <f t="shared" si="38"/>
        <v>#DIV/0!</v>
      </c>
      <c r="S316" s="67" t="e">
        <f t="shared" si="34"/>
        <v>#DIV/0!</v>
      </c>
      <c r="T316" s="64" t="e">
        <f t="shared" si="35"/>
        <v>#DIV/0!</v>
      </c>
      <c r="U316" s="68" t="e">
        <f t="shared" si="36"/>
        <v>#DIV/0!</v>
      </c>
    </row>
    <row r="317" spans="1:21" ht="25.5" x14ac:dyDescent="0.2">
      <c r="A317" s="61" t="s">
        <v>244</v>
      </c>
      <c r="B317" s="62" t="s">
        <v>253</v>
      </c>
      <c r="C317" s="62" t="s">
        <v>681</v>
      </c>
      <c r="D317" s="62" t="s">
        <v>815</v>
      </c>
      <c r="E317" s="63" t="s">
        <v>816</v>
      </c>
      <c r="F317" s="62" t="s">
        <v>257</v>
      </c>
      <c r="G317" s="62" t="s">
        <v>193</v>
      </c>
      <c r="H317" s="62" t="s">
        <v>11</v>
      </c>
      <c r="I317" s="62" t="s">
        <v>157</v>
      </c>
      <c r="J317" s="62"/>
      <c r="K317" s="64">
        <v>7.6</v>
      </c>
      <c r="L317" s="64">
        <f t="shared" si="33"/>
        <v>7.6</v>
      </c>
      <c r="M317" s="65">
        <f>prodnorm73</f>
        <v>0</v>
      </c>
      <c r="N317" s="66">
        <f>dagwerk73</f>
        <v>0</v>
      </c>
      <c r="O317" s="62" t="s">
        <v>45</v>
      </c>
      <c r="P317" s="67">
        <f>uurtarief73</f>
        <v>0</v>
      </c>
      <c r="Q317" s="64" t="e">
        <f t="shared" si="37"/>
        <v>#DIV/0!</v>
      </c>
      <c r="R317" s="64" t="e">
        <f t="shared" si="38"/>
        <v>#DIV/0!</v>
      </c>
      <c r="S317" s="67" t="e">
        <f t="shared" si="34"/>
        <v>#DIV/0!</v>
      </c>
      <c r="T317" s="64" t="e">
        <f t="shared" si="35"/>
        <v>#DIV/0!</v>
      </c>
      <c r="U317" s="68" t="e">
        <f t="shared" si="36"/>
        <v>#DIV/0!</v>
      </c>
    </row>
    <row r="318" spans="1:21" x14ac:dyDescent="0.2">
      <c r="A318" s="61" t="s">
        <v>244</v>
      </c>
      <c r="B318" s="62" t="s">
        <v>253</v>
      </c>
      <c r="C318" s="62" t="s">
        <v>681</v>
      </c>
      <c r="D318" s="62" t="s">
        <v>817</v>
      </c>
      <c r="E318" s="63" t="s">
        <v>818</v>
      </c>
      <c r="F318" s="62" t="s">
        <v>257</v>
      </c>
      <c r="G318" s="62" t="s">
        <v>207</v>
      </c>
      <c r="H318" s="62" t="s">
        <v>17</v>
      </c>
      <c r="I318" s="62" t="s">
        <v>157</v>
      </c>
      <c r="J318" s="62"/>
      <c r="K318" s="64">
        <v>12.3</v>
      </c>
      <c r="L318" s="64">
        <f t="shared" si="33"/>
        <v>5.5470588235294125</v>
      </c>
      <c r="M318" s="65">
        <f>prodnorm84</f>
        <v>0</v>
      </c>
      <c r="N318" s="66">
        <f>dagwerk84</f>
        <v>0</v>
      </c>
      <c r="O318" s="62" t="s">
        <v>45</v>
      </c>
      <c r="P318" s="67">
        <f>uurtarief84</f>
        <v>0</v>
      </c>
      <c r="Q318" s="64" t="e">
        <f t="shared" si="37"/>
        <v>#DIV/0!</v>
      </c>
      <c r="R318" s="64" t="e">
        <f t="shared" si="38"/>
        <v>#DIV/0!</v>
      </c>
      <c r="S318" s="67" t="e">
        <f t="shared" si="34"/>
        <v>#DIV/0!</v>
      </c>
      <c r="T318" s="64" t="e">
        <f t="shared" si="35"/>
        <v>#DIV/0!</v>
      </c>
      <c r="U318" s="68" t="e">
        <f t="shared" si="36"/>
        <v>#DIV/0!</v>
      </c>
    </row>
    <row r="319" spans="1:21" x14ac:dyDescent="0.2">
      <c r="A319" s="61" t="s">
        <v>244</v>
      </c>
      <c r="B319" s="62" t="s">
        <v>253</v>
      </c>
      <c r="C319" s="62" t="s">
        <v>681</v>
      </c>
      <c r="D319" s="62" t="s">
        <v>819</v>
      </c>
      <c r="E319" s="63" t="s">
        <v>360</v>
      </c>
      <c r="F319" s="62" t="s">
        <v>257</v>
      </c>
      <c r="G319" s="62" t="s">
        <v>207</v>
      </c>
      <c r="H319" s="62" t="s">
        <v>17</v>
      </c>
      <c r="I319" s="62" t="s">
        <v>157</v>
      </c>
      <c r="J319" s="62"/>
      <c r="K319" s="64">
        <v>20.8</v>
      </c>
      <c r="L319" s="64">
        <f t="shared" si="33"/>
        <v>9.3803921568627455</v>
      </c>
      <c r="M319" s="65">
        <f>prodnorm84</f>
        <v>0</v>
      </c>
      <c r="N319" s="66">
        <f>dagwerk84</f>
        <v>0</v>
      </c>
      <c r="O319" s="62" t="s">
        <v>45</v>
      </c>
      <c r="P319" s="67">
        <f>uurtarief84</f>
        <v>0</v>
      </c>
      <c r="Q319" s="64" t="e">
        <f t="shared" si="37"/>
        <v>#DIV/0!</v>
      </c>
      <c r="R319" s="64" t="e">
        <f t="shared" si="38"/>
        <v>#DIV/0!</v>
      </c>
      <c r="S319" s="67" t="e">
        <f t="shared" si="34"/>
        <v>#DIV/0!</v>
      </c>
      <c r="T319" s="64" t="e">
        <f t="shared" si="35"/>
        <v>#DIV/0!</v>
      </c>
      <c r="U319" s="68" t="e">
        <f t="shared" si="36"/>
        <v>#DIV/0!</v>
      </c>
    </row>
    <row r="320" spans="1:21" x14ac:dyDescent="0.2">
      <c r="A320" s="61" t="s">
        <v>244</v>
      </c>
      <c r="B320" s="62" t="s">
        <v>253</v>
      </c>
      <c r="C320" s="62" t="s">
        <v>681</v>
      </c>
      <c r="D320" s="62" t="s">
        <v>820</v>
      </c>
      <c r="E320" s="63" t="s">
        <v>474</v>
      </c>
      <c r="F320" s="62" t="s">
        <v>257</v>
      </c>
      <c r="G320" s="62" t="s">
        <v>205</v>
      </c>
      <c r="H320" s="62" t="s">
        <v>22</v>
      </c>
      <c r="I320" s="62" t="s">
        <v>157</v>
      </c>
      <c r="J320" s="62"/>
      <c r="K320" s="64">
        <v>18.8</v>
      </c>
      <c r="L320" s="64">
        <f t="shared" si="33"/>
        <v>3.7600000000000002</v>
      </c>
      <c r="M320" s="65">
        <f>prodnorm83</f>
        <v>0</v>
      </c>
      <c r="N320" s="66">
        <f>dagwerk83</f>
        <v>0</v>
      </c>
      <c r="O320" s="62" t="s">
        <v>45</v>
      </c>
      <c r="P320" s="67">
        <f>uurtarief83</f>
        <v>0</v>
      </c>
      <c r="Q320" s="64" t="e">
        <f t="shared" si="37"/>
        <v>#DIV/0!</v>
      </c>
      <c r="R320" s="64" t="e">
        <f t="shared" si="38"/>
        <v>#DIV/0!</v>
      </c>
      <c r="S320" s="67" t="e">
        <f t="shared" si="34"/>
        <v>#DIV/0!</v>
      </c>
      <c r="T320" s="64" t="e">
        <f t="shared" si="35"/>
        <v>#DIV/0!</v>
      </c>
      <c r="U320" s="68" t="e">
        <f t="shared" si="36"/>
        <v>#DIV/0!</v>
      </c>
    </row>
    <row r="321" spans="1:21" x14ac:dyDescent="0.2">
      <c r="A321" s="61" t="s">
        <v>244</v>
      </c>
      <c r="B321" s="62" t="s">
        <v>253</v>
      </c>
      <c r="C321" s="62" t="s">
        <v>821</v>
      </c>
      <c r="D321" s="62" t="s">
        <v>822</v>
      </c>
      <c r="E321" s="63" t="s">
        <v>823</v>
      </c>
      <c r="F321" s="62" t="s">
        <v>257</v>
      </c>
      <c r="G321" s="62" t="s">
        <v>207</v>
      </c>
      <c r="H321" s="62" t="s">
        <v>17</v>
      </c>
      <c r="I321" s="62" t="s">
        <v>157</v>
      </c>
      <c r="J321" s="62"/>
      <c r="K321" s="64">
        <v>111</v>
      </c>
      <c r="L321" s="64">
        <f t="shared" si="33"/>
        <v>50.058823529411768</v>
      </c>
      <c r="M321" s="65">
        <f>prodnorm84</f>
        <v>0</v>
      </c>
      <c r="N321" s="66">
        <f>dagwerk84</f>
        <v>0</v>
      </c>
      <c r="O321" s="62" t="s">
        <v>45</v>
      </c>
      <c r="P321" s="67">
        <f>uurtarief84</f>
        <v>0</v>
      </c>
      <c r="Q321" s="64" t="e">
        <f t="shared" si="37"/>
        <v>#DIV/0!</v>
      </c>
      <c r="R321" s="64" t="e">
        <f t="shared" si="38"/>
        <v>#DIV/0!</v>
      </c>
      <c r="S321" s="67" t="e">
        <f t="shared" si="34"/>
        <v>#DIV/0!</v>
      </c>
      <c r="T321" s="64" t="e">
        <f t="shared" si="35"/>
        <v>#DIV/0!</v>
      </c>
      <c r="U321" s="68" t="e">
        <f t="shared" si="36"/>
        <v>#DIV/0!</v>
      </c>
    </row>
    <row r="322" spans="1:21" x14ac:dyDescent="0.2">
      <c r="A322" s="61" t="s">
        <v>244</v>
      </c>
      <c r="B322" s="62" t="s">
        <v>253</v>
      </c>
      <c r="C322" s="62" t="s">
        <v>821</v>
      </c>
      <c r="D322" s="62" t="s">
        <v>824</v>
      </c>
      <c r="E322" s="63" t="s">
        <v>825</v>
      </c>
      <c r="F322" s="62" t="s">
        <v>257</v>
      </c>
      <c r="G322" s="62" t="s">
        <v>207</v>
      </c>
      <c r="H322" s="62" t="s">
        <v>22</v>
      </c>
      <c r="I322" s="62" t="s">
        <v>157</v>
      </c>
      <c r="J322" s="62"/>
      <c r="K322" s="64">
        <v>75.599999999999994</v>
      </c>
      <c r="L322" s="64">
        <f t="shared" si="33"/>
        <v>15.12</v>
      </c>
      <c r="M322" s="65">
        <f>prodnorm90</f>
        <v>0</v>
      </c>
      <c r="N322" s="66">
        <f>dagwerk90</f>
        <v>0</v>
      </c>
      <c r="O322" s="62" t="s">
        <v>45</v>
      </c>
      <c r="P322" s="67">
        <f>uurtarief90</f>
        <v>0</v>
      </c>
      <c r="Q322" s="64" t="e">
        <f t="shared" si="37"/>
        <v>#DIV/0!</v>
      </c>
      <c r="R322" s="64" t="e">
        <f t="shared" si="38"/>
        <v>#DIV/0!</v>
      </c>
      <c r="S322" s="67" t="e">
        <f t="shared" si="34"/>
        <v>#DIV/0!</v>
      </c>
      <c r="T322" s="64" t="e">
        <f t="shared" si="35"/>
        <v>#DIV/0!</v>
      </c>
      <c r="U322" s="68" t="e">
        <f t="shared" si="36"/>
        <v>#DIV/0!</v>
      </c>
    </row>
    <row r="323" spans="1:21" x14ac:dyDescent="0.2">
      <c r="A323" s="61" t="s">
        <v>244</v>
      </c>
      <c r="B323" s="62" t="s">
        <v>253</v>
      </c>
      <c r="C323" s="62" t="s">
        <v>821</v>
      </c>
      <c r="D323" s="62" t="s">
        <v>826</v>
      </c>
      <c r="E323" s="63" t="s">
        <v>827</v>
      </c>
      <c r="F323" s="62" t="s">
        <v>257</v>
      </c>
      <c r="G323" s="62" t="s">
        <v>161</v>
      </c>
      <c r="H323" s="62" t="s">
        <v>17</v>
      </c>
      <c r="I323" s="62" t="s">
        <v>157</v>
      </c>
      <c r="J323" s="62"/>
      <c r="K323" s="64">
        <v>62.4</v>
      </c>
      <c r="L323" s="64">
        <f t="shared" si="33"/>
        <v>28.141176470588235</v>
      </c>
      <c r="M323" s="65">
        <f>prodnorm42</f>
        <v>0</v>
      </c>
      <c r="N323" s="66">
        <f>dagwerk42</f>
        <v>0</v>
      </c>
      <c r="O323" s="62" t="s">
        <v>45</v>
      </c>
      <c r="P323" s="67">
        <f>uurtarief42</f>
        <v>0</v>
      </c>
      <c r="Q323" s="64" t="e">
        <f t="shared" si="37"/>
        <v>#DIV/0!</v>
      </c>
      <c r="R323" s="64" t="e">
        <f t="shared" si="38"/>
        <v>#DIV/0!</v>
      </c>
      <c r="S323" s="67" t="e">
        <f t="shared" si="34"/>
        <v>#DIV/0!</v>
      </c>
      <c r="T323" s="64" t="e">
        <f t="shared" si="35"/>
        <v>#DIV/0!</v>
      </c>
      <c r="U323" s="68" t="e">
        <f t="shared" si="36"/>
        <v>#DIV/0!</v>
      </c>
    </row>
    <row r="324" spans="1:21" x14ac:dyDescent="0.2">
      <c r="A324" s="61" t="s">
        <v>244</v>
      </c>
      <c r="B324" s="62" t="s">
        <v>253</v>
      </c>
      <c r="C324" s="62" t="s">
        <v>821</v>
      </c>
      <c r="D324" s="62" t="s">
        <v>828</v>
      </c>
      <c r="E324" s="63" t="s">
        <v>829</v>
      </c>
      <c r="F324" s="62" t="s">
        <v>257</v>
      </c>
      <c r="G324" s="62" t="s">
        <v>207</v>
      </c>
      <c r="H324" s="62" t="s">
        <v>17</v>
      </c>
      <c r="I324" s="62" t="s">
        <v>157</v>
      </c>
      <c r="J324" s="62"/>
      <c r="K324" s="64">
        <v>37.700000000000003</v>
      </c>
      <c r="L324" s="64">
        <f t="shared" si="33"/>
        <v>17.001960784313727</v>
      </c>
      <c r="M324" s="65">
        <f>prodnorm84</f>
        <v>0</v>
      </c>
      <c r="N324" s="66">
        <f>dagwerk84</f>
        <v>0</v>
      </c>
      <c r="O324" s="62" t="s">
        <v>45</v>
      </c>
      <c r="P324" s="67">
        <f>uurtarief84</f>
        <v>0</v>
      </c>
      <c r="Q324" s="64" t="e">
        <f t="shared" si="37"/>
        <v>#DIV/0!</v>
      </c>
      <c r="R324" s="64" t="e">
        <f t="shared" si="38"/>
        <v>#DIV/0!</v>
      </c>
      <c r="S324" s="67" t="e">
        <f t="shared" si="34"/>
        <v>#DIV/0!</v>
      </c>
      <c r="T324" s="64" t="e">
        <f t="shared" si="35"/>
        <v>#DIV/0!</v>
      </c>
      <c r="U324" s="68" t="e">
        <f t="shared" si="36"/>
        <v>#DIV/0!</v>
      </c>
    </row>
    <row r="325" spans="1:21" x14ac:dyDescent="0.2">
      <c r="A325" s="61" t="s">
        <v>244</v>
      </c>
      <c r="B325" s="62" t="s">
        <v>253</v>
      </c>
      <c r="C325" s="62" t="s">
        <v>821</v>
      </c>
      <c r="D325" s="62" t="s">
        <v>830</v>
      </c>
      <c r="E325" s="63" t="s">
        <v>831</v>
      </c>
      <c r="F325" s="62" t="s">
        <v>257</v>
      </c>
      <c r="G325" s="62" t="s">
        <v>207</v>
      </c>
      <c r="H325" s="62" t="s">
        <v>17</v>
      </c>
      <c r="I325" s="62" t="s">
        <v>157</v>
      </c>
      <c r="J325" s="62"/>
      <c r="K325" s="64">
        <v>7</v>
      </c>
      <c r="L325" s="64">
        <f t="shared" ref="L325:L388" si="42">K325*VLOOKUP(H325,dagsoorttabel1,2,FALSE)</f>
        <v>3.1568627450980391</v>
      </c>
      <c r="M325" s="65">
        <f>prodnorm84</f>
        <v>0</v>
      </c>
      <c r="N325" s="66">
        <f>dagwerk84</f>
        <v>0</v>
      </c>
      <c r="O325" s="62" t="s">
        <v>45</v>
      </c>
      <c r="P325" s="67">
        <f>uurtarief84</f>
        <v>0</v>
      </c>
      <c r="Q325" s="64" t="e">
        <f t="shared" si="37"/>
        <v>#DIV/0!</v>
      </c>
      <c r="R325" s="64" t="e">
        <f t="shared" si="38"/>
        <v>#DIV/0!</v>
      </c>
      <c r="S325" s="67" t="e">
        <f t="shared" ref="S325:S388" si="43">ROUND(P325,2)*Q325</f>
        <v>#DIV/0!</v>
      </c>
      <c r="T325" s="64" t="e">
        <f t="shared" ref="T325:T388" si="44">Q325*dagenperjaar1</f>
        <v>#DIV/0!</v>
      </c>
      <c r="U325" s="68" t="e">
        <f t="shared" ref="U325:U388" si="45">T325*ROUND(P325,2)</f>
        <v>#DIV/0!</v>
      </c>
    </row>
    <row r="326" spans="1:21" x14ac:dyDescent="0.2">
      <c r="A326" s="61" t="s">
        <v>244</v>
      </c>
      <c r="B326" s="62" t="s">
        <v>253</v>
      </c>
      <c r="C326" s="62" t="s">
        <v>821</v>
      </c>
      <c r="D326" s="62" t="s">
        <v>832</v>
      </c>
      <c r="E326" s="63" t="s">
        <v>833</v>
      </c>
      <c r="F326" s="62" t="s">
        <v>834</v>
      </c>
      <c r="G326" s="62" t="s">
        <v>207</v>
      </c>
      <c r="H326" s="62" t="s">
        <v>32</v>
      </c>
      <c r="I326" s="62" t="s">
        <v>157</v>
      </c>
      <c r="J326" s="62"/>
      <c r="K326" s="64">
        <v>36.299999999999997</v>
      </c>
      <c r="L326" s="64">
        <f t="shared" si="42"/>
        <v>0.14235294117647057</v>
      </c>
      <c r="M326" s="65">
        <f>prodnorm85</f>
        <v>0</v>
      </c>
      <c r="N326" s="66">
        <f>dagwerk85</f>
        <v>0</v>
      </c>
      <c r="O326" s="62" t="s">
        <v>45</v>
      </c>
      <c r="P326" s="67">
        <f>uurtarief85</f>
        <v>0</v>
      </c>
      <c r="Q326" s="64" t="e">
        <f t="shared" si="37"/>
        <v>#DIV/0!</v>
      </c>
      <c r="R326" s="64" t="e">
        <f t="shared" si="38"/>
        <v>#DIV/0!</v>
      </c>
      <c r="S326" s="67" t="e">
        <f t="shared" si="43"/>
        <v>#DIV/0!</v>
      </c>
      <c r="T326" s="64" t="e">
        <f t="shared" si="44"/>
        <v>#DIV/0!</v>
      </c>
      <c r="U326" s="68" t="e">
        <f t="shared" si="45"/>
        <v>#DIV/0!</v>
      </c>
    </row>
    <row r="327" spans="1:21" x14ac:dyDescent="0.2">
      <c r="A327" s="61" t="s">
        <v>244</v>
      </c>
      <c r="B327" s="62" t="s">
        <v>253</v>
      </c>
      <c r="C327" s="62" t="s">
        <v>821</v>
      </c>
      <c r="D327" s="62" t="s">
        <v>835</v>
      </c>
      <c r="E327" s="63" t="s">
        <v>836</v>
      </c>
      <c r="F327" s="62" t="s">
        <v>257</v>
      </c>
      <c r="G327" s="62" t="s">
        <v>207</v>
      </c>
      <c r="H327" s="62" t="s">
        <v>17</v>
      </c>
      <c r="I327" s="62" t="s">
        <v>157</v>
      </c>
      <c r="J327" s="62"/>
      <c r="K327" s="64">
        <v>10.7</v>
      </c>
      <c r="L327" s="64">
        <f t="shared" si="42"/>
        <v>4.8254901960784311</v>
      </c>
      <c r="M327" s="65">
        <f>prodnorm84</f>
        <v>0</v>
      </c>
      <c r="N327" s="66">
        <f>dagwerk84</f>
        <v>0</v>
      </c>
      <c r="O327" s="62" t="s">
        <v>45</v>
      </c>
      <c r="P327" s="67">
        <f>uurtarief84</f>
        <v>0</v>
      </c>
      <c r="Q327" s="64" t="e">
        <f t="shared" si="37"/>
        <v>#DIV/0!</v>
      </c>
      <c r="R327" s="64" t="e">
        <f t="shared" si="38"/>
        <v>#DIV/0!</v>
      </c>
      <c r="S327" s="67" t="e">
        <f t="shared" si="43"/>
        <v>#DIV/0!</v>
      </c>
      <c r="T327" s="64" t="e">
        <f t="shared" si="44"/>
        <v>#DIV/0!</v>
      </c>
      <c r="U327" s="68" t="e">
        <f t="shared" si="45"/>
        <v>#DIV/0!</v>
      </c>
    </row>
    <row r="328" spans="1:21" x14ac:dyDescent="0.2">
      <c r="A328" s="61" t="s">
        <v>244</v>
      </c>
      <c r="B328" s="62" t="s">
        <v>253</v>
      </c>
      <c r="C328" s="62" t="s">
        <v>821</v>
      </c>
      <c r="D328" s="62" t="s">
        <v>837</v>
      </c>
      <c r="E328" s="63" t="s">
        <v>838</v>
      </c>
      <c r="F328" s="62" t="s">
        <v>257</v>
      </c>
      <c r="G328" s="62" t="s">
        <v>165</v>
      </c>
      <c r="H328" s="62" t="s">
        <v>12</v>
      </c>
      <c r="I328" s="62" t="s">
        <v>157</v>
      </c>
      <c r="J328" s="62"/>
      <c r="K328" s="64">
        <v>100</v>
      </c>
      <c r="L328" s="64">
        <f t="shared" si="42"/>
        <v>90.196078431372555</v>
      </c>
      <c r="M328" s="65">
        <f>prodnorm51</f>
        <v>0</v>
      </c>
      <c r="N328" s="66">
        <f>dagwerk51</f>
        <v>0</v>
      </c>
      <c r="O328" s="62" t="s">
        <v>45</v>
      </c>
      <c r="P328" s="67">
        <f>uurtarief51</f>
        <v>0</v>
      </c>
      <c r="Q328" s="64" t="e">
        <f t="shared" si="37"/>
        <v>#DIV/0!</v>
      </c>
      <c r="R328" s="64" t="e">
        <f t="shared" si="38"/>
        <v>#DIV/0!</v>
      </c>
      <c r="S328" s="67" t="e">
        <f t="shared" si="43"/>
        <v>#DIV/0!</v>
      </c>
      <c r="T328" s="64" t="e">
        <f t="shared" si="44"/>
        <v>#DIV/0!</v>
      </c>
      <c r="U328" s="68" t="e">
        <f t="shared" si="45"/>
        <v>#DIV/0!</v>
      </c>
    </row>
    <row r="329" spans="1:21" x14ac:dyDescent="0.2">
      <c r="A329" s="61" t="s">
        <v>244</v>
      </c>
      <c r="B329" s="62" t="s">
        <v>253</v>
      </c>
      <c r="C329" s="62" t="s">
        <v>821</v>
      </c>
      <c r="D329" s="62" t="s">
        <v>839</v>
      </c>
      <c r="E329" s="63" t="s">
        <v>838</v>
      </c>
      <c r="F329" s="62" t="s">
        <v>387</v>
      </c>
      <c r="G329" s="62" t="s">
        <v>167</v>
      </c>
      <c r="H329" s="62" t="s">
        <v>12</v>
      </c>
      <c r="I329" s="62" t="s">
        <v>157</v>
      </c>
      <c r="J329" s="62"/>
      <c r="K329" s="64">
        <v>133</v>
      </c>
      <c r="L329" s="64">
        <f t="shared" si="42"/>
        <v>119.9607843137255</v>
      </c>
      <c r="M329" s="65">
        <f>prodnorm52</f>
        <v>0</v>
      </c>
      <c r="N329" s="66">
        <f>dagwerk52</f>
        <v>0</v>
      </c>
      <c r="O329" s="62" t="s">
        <v>45</v>
      </c>
      <c r="P329" s="67">
        <f>uurtarief52</f>
        <v>0</v>
      </c>
      <c r="Q329" s="64" t="e">
        <f t="shared" si="37"/>
        <v>#DIV/0!</v>
      </c>
      <c r="R329" s="64" t="e">
        <f t="shared" si="38"/>
        <v>#DIV/0!</v>
      </c>
      <c r="S329" s="67" t="e">
        <f t="shared" si="43"/>
        <v>#DIV/0!</v>
      </c>
      <c r="T329" s="64" t="e">
        <f t="shared" si="44"/>
        <v>#DIV/0!</v>
      </c>
      <c r="U329" s="68" t="e">
        <f t="shared" si="45"/>
        <v>#DIV/0!</v>
      </c>
    </row>
    <row r="330" spans="1:21" x14ac:dyDescent="0.2">
      <c r="A330" s="61" t="s">
        <v>244</v>
      </c>
      <c r="B330" s="62" t="s">
        <v>253</v>
      </c>
      <c r="C330" s="62" t="s">
        <v>821</v>
      </c>
      <c r="D330" s="62" t="s">
        <v>840</v>
      </c>
      <c r="E330" s="63" t="s">
        <v>838</v>
      </c>
      <c r="F330" s="62" t="s">
        <v>841</v>
      </c>
      <c r="G330" s="62" t="s">
        <v>165</v>
      </c>
      <c r="H330" s="62" t="s">
        <v>12</v>
      </c>
      <c r="I330" s="62" t="s">
        <v>157</v>
      </c>
      <c r="J330" s="62"/>
      <c r="K330" s="64">
        <v>100.2</v>
      </c>
      <c r="L330" s="64">
        <f t="shared" si="42"/>
        <v>90.376470588235293</v>
      </c>
      <c r="M330" s="65">
        <f>prodnorm51</f>
        <v>0</v>
      </c>
      <c r="N330" s="66">
        <f>dagwerk51</f>
        <v>0</v>
      </c>
      <c r="O330" s="62" t="s">
        <v>45</v>
      </c>
      <c r="P330" s="67">
        <f>uurtarief51</f>
        <v>0</v>
      </c>
      <c r="Q330" s="64" t="e">
        <f t="shared" si="37"/>
        <v>#DIV/0!</v>
      </c>
      <c r="R330" s="64" t="e">
        <f t="shared" si="38"/>
        <v>#DIV/0!</v>
      </c>
      <c r="S330" s="67" t="e">
        <f t="shared" si="43"/>
        <v>#DIV/0!</v>
      </c>
      <c r="T330" s="64" t="e">
        <f t="shared" si="44"/>
        <v>#DIV/0!</v>
      </c>
      <c r="U330" s="68" t="e">
        <f t="shared" si="45"/>
        <v>#DIV/0!</v>
      </c>
    </row>
    <row r="331" spans="1:21" x14ac:dyDescent="0.2">
      <c r="A331" s="61" t="s">
        <v>244</v>
      </c>
      <c r="B331" s="62" t="s">
        <v>253</v>
      </c>
      <c r="C331" s="62" t="s">
        <v>821</v>
      </c>
      <c r="D331" s="62" t="s">
        <v>842</v>
      </c>
      <c r="E331" s="63" t="s">
        <v>843</v>
      </c>
      <c r="F331" s="62" t="s">
        <v>257</v>
      </c>
      <c r="G331" s="62" t="s">
        <v>191</v>
      </c>
      <c r="H331" s="62" t="s">
        <v>12</v>
      </c>
      <c r="I331" s="62" t="s">
        <v>157</v>
      </c>
      <c r="J331" s="62"/>
      <c r="K331" s="64">
        <v>168</v>
      </c>
      <c r="L331" s="64">
        <f t="shared" si="42"/>
        <v>151.52941176470588</v>
      </c>
      <c r="M331" s="65">
        <f>prodnorm70</f>
        <v>0</v>
      </c>
      <c r="N331" s="66">
        <f>dagwerk70</f>
        <v>0</v>
      </c>
      <c r="O331" s="62" t="s">
        <v>45</v>
      </c>
      <c r="P331" s="67">
        <f>uurtarief70</f>
        <v>0</v>
      </c>
      <c r="Q331" s="64" t="e">
        <f t="shared" ref="Q331:Q391" si="46">IF(ISBLANK(M331),0,L331/ROUND(M331,4))</f>
        <v>#DIV/0!</v>
      </c>
      <c r="R331" s="64" t="e">
        <f t="shared" ref="R331:R394" si="47">IF(ISBLANK(M331),0,Q331*ROUND(N331,2))</f>
        <v>#DIV/0!</v>
      </c>
      <c r="S331" s="67" t="e">
        <f t="shared" si="43"/>
        <v>#DIV/0!</v>
      </c>
      <c r="T331" s="64" t="e">
        <f t="shared" si="44"/>
        <v>#DIV/0!</v>
      </c>
      <c r="U331" s="68" t="e">
        <f t="shared" si="45"/>
        <v>#DIV/0!</v>
      </c>
    </row>
    <row r="332" spans="1:21" x14ac:dyDescent="0.2">
      <c r="A332" s="61" t="s">
        <v>244</v>
      </c>
      <c r="B332" s="62" t="s">
        <v>253</v>
      </c>
      <c r="C332" s="62" t="s">
        <v>821</v>
      </c>
      <c r="D332" s="62" t="s">
        <v>844</v>
      </c>
      <c r="E332" s="63" t="s">
        <v>845</v>
      </c>
      <c r="F332" s="62" t="s">
        <v>257</v>
      </c>
      <c r="G332" s="62" t="s">
        <v>207</v>
      </c>
      <c r="H332" s="62" t="s">
        <v>17</v>
      </c>
      <c r="I332" s="62" t="s">
        <v>157</v>
      </c>
      <c r="J332" s="62"/>
      <c r="K332" s="64">
        <v>46</v>
      </c>
      <c r="L332" s="64">
        <f t="shared" si="42"/>
        <v>20.745098039215687</v>
      </c>
      <c r="M332" s="65">
        <f>prodnorm84</f>
        <v>0</v>
      </c>
      <c r="N332" s="66">
        <f>dagwerk84</f>
        <v>0</v>
      </c>
      <c r="O332" s="62" t="s">
        <v>45</v>
      </c>
      <c r="P332" s="67">
        <f>uurtarief84</f>
        <v>0</v>
      </c>
      <c r="Q332" s="64" t="e">
        <f t="shared" si="46"/>
        <v>#DIV/0!</v>
      </c>
      <c r="R332" s="64" t="e">
        <f t="shared" si="47"/>
        <v>#DIV/0!</v>
      </c>
      <c r="S332" s="67" t="e">
        <f t="shared" si="43"/>
        <v>#DIV/0!</v>
      </c>
      <c r="T332" s="64" t="e">
        <f t="shared" si="44"/>
        <v>#DIV/0!</v>
      </c>
      <c r="U332" s="68" t="e">
        <f t="shared" si="45"/>
        <v>#DIV/0!</v>
      </c>
    </row>
    <row r="333" spans="1:21" x14ac:dyDescent="0.2">
      <c r="A333" s="61" t="s">
        <v>244</v>
      </c>
      <c r="B333" s="62" t="s">
        <v>253</v>
      </c>
      <c r="C333" s="62" t="s">
        <v>821</v>
      </c>
      <c r="D333" s="62" t="s">
        <v>846</v>
      </c>
      <c r="E333" s="63" t="s">
        <v>847</v>
      </c>
      <c r="F333" s="62" t="s">
        <v>257</v>
      </c>
      <c r="G333" s="62" t="s">
        <v>156</v>
      </c>
      <c r="H333" s="62" t="s">
        <v>27</v>
      </c>
      <c r="I333" s="62" t="s">
        <v>157</v>
      </c>
      <c r="J333" s="62"/>
      <c r="K333" s="64">
        <v>56.8</v>
      </c>
      <c r="L333" s="64">
        <f t="shared" si="42"/>
        <v>2.6729411764705882</v>
      </c>
      <c r="M333" s="65">
        <f>prodnorm38</f>
        <v>0</v>
      </c>
      <c r="N333" s="66">
        <f>dagwerk38</f>
        <v>0</v>
      </c>
      <c r="O333" s="62" t="s">
        <v>45</v>
      </c>
      <c r="P333" s="67">
        <f>uurtarief38</f>
        <v>0</v>
      </c>
      <c r="Q333" s="64" t="e">
        <f t="shared" si="46"/>
        <v>#DIV/0!</v>
      </c>
      <c r="R333" s="64" t="e">
        <f t="shared" si="47"/>
        <v>#DIV/0!</v>
      </c>
      <c r="S333" s="67" t="e">
        <f t="shared" si="43"/>
        <v>#DIV/0!</v>
      </c>
      <c r="T333" s="64" t="e">
        <f t="shared" si="44"/>
        <v>#DIV/0!</v>
      </c>
      <c r="U333" s="68" t="e">
        <f t="shared" si="45"/>
        <v>#DIV/0!</v>
      </c>
    </row>
    <row r="334" spans="1:21" x14ac:dyDescent="0.2">
      <c r="A334" s="61" t="s">
        <v>244</v>
      </c>
      <c r="B334" s="62" t="s">
        <v>253</v>
      </c>
      <c r="C334" s="62" t="s">
        <v>821</v>
      </c>
      <c r="D334" s="62" t="s">
        <v>848</v>
      </c>
      <c r="E334" s="63" t="s">
        <v>849</v>
      </c>
      <c r="F334" s="62" t="s">
        <v>257</v>
      </c>
      <c r="G334" s="62" t="s">
        <v>161</v>
      </c>
      <c r="H334" s="62" t="s">
        <v>12</v>
      </c>
      <c r="I334" s="62" t="s">
        <v>157</v>
      </c>
      <c r="J334" s="62"/>
      <c r="K334" s="64">
        <v>27.4</v>
      </c>
      <c r="L334" s="64">
        <f t="shared" si="42"/>
        <v>24.713725490196076</v>
      </c>
      <c r="M334" s="65">
        <f>prodnorm44</f>
        <v>0</v>
      </c>
      <c r="N334" s="66">
        <f>dagwerk44</f>
        <v>0</v>
      </c>
      <c r="O334" s="62" t="s">
        <v>45</v>
      </c>
      <c r="P334" s="67">
        <f>uurtarief44</f>
        <v>0</v>
      </c>
      <c r="Q334" s="64" t="e">
        <f t="shared" si="46"/>
        <v>#DIV/0!</v>
      </c>
      <c r="R334" s="64" t="e">
        <f t="shared" si="47"/>
        <v>#DIV/0!</v>
      </c>
      <c r="S334" s="67" t="e">
        <f t="shared" si="43"/>
        <v>#DIV/0!</v>
      </c>
      <c r="T334" s="64" t="e">
        <f t="shared" si="44"/>
        <v>#DIV/0!</v>
      </c>
      <c r="U334" s="68" t="e">
        <f t="shared" si="45"/>
        <v>#DIV/0!</v>
      </c>
    </row>
    <row r="335" spans="1:21" x14ac:dyDescent="0.2">
      <c r="A335" s="61" t="s">
        <v>244</v>
      </c>
      <c r="B335" s="62" t="s">
        <v>253</v>
      </c>
      <c r="C335" s="62" t="s">
        <v>821</v>
      </c>
      <c r="D335" s="62" t="s">
        <v>850</v>
      </c>
      <c r="E335" s="63" t="s">
        <v>851</v>
      </c>
      <c r="F335" s="62" t="s">
        <v>249</v>
      </c>
      <c r="G335" s="62" t="s">
        <v>207</v>
      </c>
      <c r="H335" s="62" t="s">
        <v>17</v>
      </c>
      <c r="I335" s="62" t="s">
        <v>157</v>
      </c>
      <c r="J335" s="62"/>
      <c r="K335" s="64">
        <v>30.2</v>
      </c>
      <c r="L335" s="64">
        <f t="shared" si="42"/>
        <v>13.619607843137254</v>
      </c>
      <c r="M335" s="65">
        <f>prodnorm84</f>
        <v>0</v>
      </c>
      <c r="N335" s="66">
        <f>dagwerk84</f>
        <v>0</v>
      </c>
      <c r="O335" s="62" t="s">
        <v>45</v>
      </c>
      <c r="P335" s="67">
        <f>uurtarief84</f>
        <v>0</v>
      </c>
      <c r="Q335" s="64" t="e">
        <f t="shared" si="46"/>
        <v>#DIV/0!</v>
      </c>
      <c r="R335" s="64" t="e">
        <f t="shared" si="47"/>
        <v>#DIV/0!</v>
      </c>
      <c r="S335" s="67" t="e">
        <f t="shared" si="43"/>
        <v>#DIV/0!</v>
      </c>
      <c r="T335" s="64" t="e">
        <f t="shared" si="44"/>
        <v>#DIV/0!</v>
      </c>
      <c r="U335" s="68" t="e">
        <f t="shared" si="45"/>
        <v>#DIV/0!</v>
      </c>
    </row>
    <row r="336" spans="1:21" x14ac:dyDescent="0.2">
      <c r="A336" s="61" t="s">
        <v>244</v>
      </c>
      <c r="B336" s="62" t="s">
        <v>253</v>
      </c>
      <c r="C336" s="62" t="s">
        <v>821</v>
      </c>
      <c r="D336" s="62" t="s">
        <v>852</v>
      </c>
      <c r="E336" s="63" t="s">
        <v>853</v>
      </c>
      <c r="F336" s="62" t="s">
        <v>257</v>
      </c>
      <c r="G336" s="62" t="s">
        <v>161</v>
      </c>
      <c r="H336" s="62" t="s">
        <v>17</v>
      </c>
      <c r="I336" s="62" t="s">
        <v>157</v>
      </c>
      <c r="J336" s="62"/>
      <c r="K336" s="64">
        <v>37</v>
      </c>
      <c r="L336" s="64">
        <f t="shared" si="42"/>
        <v>16.686274509803923</v>
      </c>
      <c r="M336" s="65">
        <f>prodnorm42</f>
        <v>0</v>
      </c>
      <c r="N336" s="66">
        <f>dagwerk42</f>
        <v>0</v>
      </c>
      <c r="O336" s="62" t="s">
        <v>45</v>
      </c>
      <c r="P336" s="67">
        <f>uurtarief42</f>
        <v>0</v>
      </c>
      <c r="Q336" s="64" t="e">
        <f t="shared" si="46"/>
        <v>#DIV/0!</v>
      </c>
      <c r="R336" s="64" t="e">
        <f t="shared" si="47"/>
        <v>#DIV/0!</v>
      </c>
      <c r="S336" s="67" t="e">
        <f t="shared" si="43"/>
        <v>#DIV/0!</v>
      </c>
      <c r="T336" s="64" t="e">
        <f t="shared" si="44"/>
        <v>#DIV/0!</v>
      </c>
      <c r="U336" s="68" t="e">
        <f t="shared" si="45"/>
        <v>#DIV/0!</v>
      </c>
    </row>
    <row r="337" spans="1:21" x14ac:dyDescent="0.2">
      <c r="A337" s="61" t="s">
        <v>244</v>
      </c>
      <c r="B337" s="62" t="s">
        <v>253</v>
      </c>
      <c r="C337" s="62" t="s">
        <v>821</v>
      </c>
      <c r="D337" s="62" t="s">
        <v>854</v>
      </c>
      <c r="E337" s="63" t="s">
        <v>853</v>
      </c>
      <c r="F337" s="62" t="s">
        <v>257</v>
      </c>
      <c r="G337" s="62" t="s">
        <v>161</v>
      </c>
      <c r="H337" s="62" t="s">
        <v>17</v>
      </c>
      <c r="I337" s="62" t="s">
        <v>157</v>
      </c>
      <c r="J337" s="62"/>
      <c r="K337" s="64">
        <v>14.6</v>
      </c>
      <c r="L337" s="64">
        <f t="shared" si="42"/>
        <v>6.5843137254901958</v>
      </c>
      <c r="M337" s="65">
        <f>prodnorm42</f>
        <v>0</v>
      </c>
      <c r="N337" s="66">
        <f>dagwerk42</f>
        <v>0</v>
      </c>
      <c r="O337" s="62" t="s">
        <v>45</v>
      </c>
      <c r="P337" s="67">
        <f>uurtarief42</f>
        <v>0</v>
      </c>
      <c r="Q337" s="64" t="e">
        <f t="shared" si="46"/>
        <v>#DIV/0!</v>
      </c>
      <c r="R337" s="64" t="e">
        <f t="shared" si="47"/>
        <v>#DIV/0!</v>
      </c>
      <c r="S337" s="67" t="e">
        <f t="shared" si="43"/>
        <v>#DIV/0!</v>
      </c>
      <c r="T337" s="64" t="e">
        <f t="shared" si="44"/>
        <v>#DIV/0!</v>
      </c>
      <c r="U337" s="68" t="e">
        <f t="shared" si="45"/>
        <v>#DIV/0!</v>
      </c>
    </row>
    <row r="338" spans="1:21" x14ac:dyDescent="0.2">
      <c r="A338" s="61" t="s">
        <v>244</v>
      </c>
      <c r="B338" s="62" t="s">
        <v>253</v>
      </c>
      <c r="C338" s="62" t="s">
        <v>821</v>
      </c>
      <c r="D338" s="62" t="s">
        <v>855</v>
      </c>
      <c r="E338" s="63" t="s">
        <v>497</v>
      </c>
      <c r="F338" s="62" t="s">
        <v>257</v>
      </c>
      <c r="G338" s="62" t="s">
        <v>207</v>
      </c>
      <c r="H338" s="62" t="s">
        <v>17</v>
      </c>
      <c r="I338" s="62" t="s">
        <v>157</v>
      </c>
      <c r="J338" s="62"/>
      <c r="K338" s="64">
        <v>76.900000000000006</v>
      </c>
      <c r="L338" s="64">
        <f t="shared" si="42"/>
        <v>34.680392156862752</v>
      </c>
      <c r="M338" s="65">
        <f>prodnorm84</f>
        <v>0</v>
      </c>
      <c r="N338" s="66">
        <f>dagwerk84</f>
        <v>0</v>
      </c>
      <c r="O338" s="62" t="s">
        <v>45</v>
      </c>
      <c r="P338" s="67">
        <f>uurtarief84</f>
        <v>0</v>
      </c>
      <c r="Q338" s="64" t="e">
        <f t="shared" si="46"/>
        <v>#DIV/0!</v>
      </c>
      <c r="R338" s="64" t="e">
        <f t="shared" si="47"/>
        <v>#DIV/0!</v>
      </c>
      <c r="S338" s="67" t="e">
        <f t="shared" si="43"/>
        <v>#DIV/0!</v>
      </c>
      <c r="T338" s="64" t="e">
        <f t="shared" si="44"/>
        <v>#DIV/0!</v>
      </c>
      <c r="U338" s="68" t="e">
        <f t="shared" si="45"/>
        <v>#DIV/0!</v>
      </c>
    </row>
    <row r="339" spans="1:21" x14ac:dyDescent="0.2">
      <c r="A339" s="61" t="s">
        <v>244</v>
      </c>
      <c r="B339" s="62" t="s">
        <v>253</v>
      </c>
      <c r="C339" s="62" t="s">
        <v>821</v>
      </c>
      <c r="D339" s="62" t="s">
        <v>856</v>
      </c>
      <c r="E339" s="63" t="s">
        <v>857</v>
      </c>
      <c r="F339" s="62" t="s">
        <v>257</v>
      </c>
      <c r="G339" s="62" t="s">
        <v>207</v>
      </c>
      <c r="H339" s="62" t="s">
        <v>17</v>
      </c>
      <c r="I339" s="62" t="s">
        <v>157</v>
      </c>
      <c r="J339" s="62"/>
      <c r="K339" s="64">
        <v>20.399999999999999</v>
      </c>
      <c r="L339" s="64">
        <f t="shared" si="42"/>
        <v>9.1999999999999993</v>
      </c>
      <c r="M339" s="65">
        <f>prodnorm84</f>
        <v>0</v>
      </c>
      <c r="N339" s="66">
        <f>dagwerk84</f>
        <v>0</v>
      </c>
      <c r="O339" s="62" t="s">
        <v>45</v>
      </c>
      <c r="P339" s="67">
        <f>uurtarief84</f>
        <v>0</v>
      </c>
      <c r="Q339" s="64" t="e">
        <f t="shared" si="46"/>
        <v>#DIV/0!</v>
      </c>
      <c r="R339" s="64" t="e">
        <f t="shared" si="47"/>
        <v>#DIV/0!</v>
      </c>
      <c r="S339" s="67" t="e">
        <f t="shared" si="43"/>
        <v>#DIV/0!</v>
      </c>
      <c r="T339" s="64" t="e">
        <f t="shared" si="44"/>
        <v>#DIV/0!</v>
      </c>
      <c r="U339" s="68" t="e">
        <f t="shared" si="45"/>
        <v>#DIV/0!</v>
      </c>
    </row>
    <row r="340" spans="1:21" x14ac:dyDescent="0.2">
      <c r="A340" s="61" t="s">
        <v>244</v>
      </c>
      <c r="B340" s="62" t="s">
        <v>253</v>
      </c>
      <c r="C340" s="62" t="s">
        <v>821</v>
      </c>
      <c r="D340" s="62" t="s">
        <v>858</v>
      </c>
      <c r="E340" s="63" t="s">
        <v>859</v>
      </c>
      <c r="F340" s="62" t="s">
        <v>257</v>
      </c>
      <c r="G340" s="62" t="s">
        <v>207</v>
      </c>
      <c r="H340" s="62" t="s">
        <v>17</v>
      </c>
      <c r="I340" s="62" t="s">
        <v>157</v>
      </c>
      <c r="J340" s="62"/>
      <c r="K340" s="64">
        <v>32</v>
      </c>
      <c r="L340" s="64">
        <f t="shared" si="42"/>
        <v>14.431372549019608</v>
      </c>
      <c r="M340" s="65">
        <f>prodnorm84</f>
        <v>0</v>
      </c>
      <c r="N340" s="66">
        <f>dagwerk84</f>
        <v>0</v>
      </c>
      <c r="O340" s="62" t="s">
        <v>45</v>
      </c>
      <c r="P340" s="67">
        <f>uurtarief84</f>
        <v>0</v>
      </c>
      <c r="Q340" s="64" t="e">
        <f t="shared" si="46"/>
        <v>#DIV/0!</v>
      </c>
      <c r="R340" s="64" t="e">
        <f t="shared" si="47"/>
        <v>#DIV/0!</v>
      </c>
      <c r="S340" s="67" t="e">
        <f t="shared" si="43"/>
        <v>#DIV/0!</v>
      </c>
      <c r="T340" s="64" t="e">
        <f t="shared" si="44"/>
        <v>#DIV/0!</v>
      </c>
      <c r="U340" s="68" t="e">
        <f t="shared" si="45"/>
        <v>#DIV/0!</v>
      </c>
    </row>
    <row r="341" spans="1:21" x14ac:dyDescent="0.2">
      <c r="A341" s="61" t="s">
        <v>244</v>
      </c>
      <c r="B341" s="62" t="s">
        <v>253</v>
      </c>
      <c r="C341" s="62" t="s">
        <v>821</v>
      </c>
      <c r="D341" s="62" t="s">
        <v>860</v>
      </c>
      <c r="E341" s="63" t="s">
        <v>861</v>
      </c>
      <c r="F341" s="62" t="s">
        <v>257</v>
      </c>
      <c r="G341" s="62" t="s">
        <v>191</v>
      </c>
      <c r="H341" s="62" t="s">
        <v>12</v>
      </c>
      <c r="I341" s="62" t="s">
        <v>157</v>
      </c>
      <c r="J341" s="62"/>
      <c r="K341" s="64">
        <v>102.7</v>
      </c>
      <c r="L341" s="64">
        <f t="shared" si="42"/>
        <v>92.631372549019616</v>
      </c>
      <c r="M341" s="65">
        <f>prodnorm70</f>
        <v>0</v>
      </c>
      <c r="N341" s="66">
        <f>dagwerk70</f>
        <v>0</v>
      </c>
      <c r="O341" s="62" t="s">
        <v>45</v>
      </c>
      <c r="P341" s="67">
        <f>uurtarief70</f>
        <v>0</v>
      </c>
      <c r="Q341" s="64" t="e">
        <f t="shared" si="46"/>
        <v>#DIV/0!</v>
      </c>
      <c r="R341" s="64" t="e">
        <f t="shared" si="47"/>
        <v>#DIV/0!</v>
      </c>
      <c r="S341" s="67" t="e">
        <f t="shared" si="43"/>
        <v>#DIV/0!</v>
      </c>
      <c r="T341" s="64" t="e">
        <f t="shared" si="44"/>
        <v>#DIV/0!</v>
      </c>
      <c r="U341" s="68" t="e">
        <f t="shared" si="45"/>
        <v>#DIV/0!</v>
      </c>
    </row>
    <row r="342" spans="1:21" x14ac:dyDescent="0.2">
      <c r="A342" s="61" t="s">
        <v>244</v>
      </c>
      <c r="B342" s="62" t="s">
        <v>253</v>
      </c>
      <c r="C342" s="62" t="s">
        <v>821</v>
      </c>
      <c r="D342" s="62" t="s">
        <v>862</v>
      </c>
      <c r="E342" s="63" t="s">
        <v>861</v>
      </c>
      <c r="F342" s="62" t="s">
        <v>257</v>
      </c>
      <c r="G342" s="62" t="s">
        <v>191</v>
      </c>
      <c r="H342" s="62" t="s">
        <v>12</v>
      </c>
      <c r="I342" s="62" t="s">
        <v>157</v>
      </c>
      <c r="J342" s="62"/>
      <c r="K342" s="64">
        <v>19</v>
      </c>
      <c r="L342" s="64">
        <f t="shared" si="42"/>
        <v>17.137254901960784</v>
      </c>
      <c r="M342" s="65">
        <f>prodnorm70</f>
        <v>0</v>
      </c>
      <c r="N342" s="66">
        <f>dagwerk70</f>
        <v>0</v>
      </c>
      <c r="O342" s="62" t="s">
        <v>45</v>
      </c>
      <c r="P342" s="67">
        <f>uurtarief70</f>
        <v>0</v>
      </c>
      <c r="Q342" s="64" t="e">
        <f t="shared" si="46"/>
        <v>#DIV/0!</v>
      </c>
      <c r="R342" s="64" t="e">
        <f t="shared" si="47"/>
        <v>#DIV/0!</v>
      </c>
      <c r="S342" s="67" t="e">
        <f t="shared" si="43"/>
        <v>#DIV/0!</v>
      </c>
      <c r="T342" s="64" t="e">
        <f t="shared" si="44"/>
        <v>#DIV/0!</v>
      </c>
      <c r="U342" s="68" t="e">
        <f t="shared" si="45"/>
        <v>#DIV/0!</v>
      </c>
    </row>
    <row r="343" spans="1:21" x14ac:dyDescent="0.2">
      <c r="A343" s="61" t="s">
        <v>244</v>
      </c>
      <c r="B343" s="62" t="s">
        <v>253</v>
      </c>
      <c r="C343" s="62" t="s">
        <v>821</v>
      </c>
      <c r="D343" s="62" t="s">
        <v>863</v>
      </c>
      <c r="E343" s="63" t="s">
        <v>864</v>
      </c>
      <c r="F343" s="62" t="s">
        <v>257</v>
      </c>
      <c r="G343" s="62" t="s">
        <v>161</v>
      </c>
      <c r="H343" s="62" t="s">
        <v>17</v>
      </c>
      <c r="I343" s="62" t="s">
        <v>157</v>
      </c>
      <c r="J343" s="62"/>
      <c r="K343" s="64">
        <v>19.100000000000001</v>
      </c>
      <c r="L343" s="64">
        <f t="shared" si="42"/>
        <v>8.6137254901960798</v>
      </c>
      <c r="M343" s="65">
        <f>prodnorm42</f>
        <v>0</v>
      </c>
      <c r="N343" s="66">
        <f>dagwerk42</f>
        <v>0</v>
      </c>
      <c r="O343" s="62" t="s">
        <v>45</v>
      </c>
      <c r="P343" s="67">
        <f>uurtarief42</f>
        <v>0</v>
      </c>
      <c r="Q343" s="64" t="e">
        <f t="shared" si="46"/>
        <v>#DIV/0!</v>
      </c>
      <c r="R343" s="64" t="e">
        <f t="shared" si="47"/>
        <v>#DIV/0!</v>
      </c>
      <c r="S343" s="67" t="e">
        <f t="shared" si="43"/>
        <v>#DIV/0!</v>
      </c>
      <c r="T343" s="64" t="e">
        <f t="shared" si="44"/>
        <v>#DIV/0!</v>
      </c>
      <c r="U343" s="68" t="e">
        <f t="shared" si="45"/>
        <v>#DIV/0!</v>
      </c>
    </row>
    <row r="344" spans="1:21" x14ac:dyDescent="0.2">
      <c r="A344" s="61" t="s">
        <v>244</v>
      </c>
      <c r="B344" s="62" t="s">
        <v>253</v>
      </c>
      <c r="C344" s="62" t="s">
        <v>821</v>
      </c>
      <c r="D344" s="62" t="s">
        <v>865</v>
      </c>
      <c r="E344" s="63" t="s">
        <v>861</v>
      </c>
      <c r="F344" s="62" t="s">
        <v>257</v>
      </c>
      <c r="G344" s="62" t="s">
        <v>191</v>
      </c>
      <c r="H344" s="62" t="s">
        <v>12</v>
      </c>
      <c r="I344" s="62" t="s">
        <v>157</v>
      </c>
      <c r="J344" s="62"/>
      <c r="K344" s="64">
        <v>14.7</v>
      </c>
      <c r="L344" s="64">
        <f t="shared" si="42"/>
        <v>13.258823529411764</v>
      </c>
      <c r="M344" s="65">
        <f>prodnorm70</f>
        <v>0</v>
      </c>
      <c r="N344" s="66">
        <f>dagwerk70</f>
        <v>0</v>
      </c>
      <c r="O344" s="62" t="s">
        <v>45</v>
      </c>
      <c r="P344" s="67">
        <f>uurtarief70</f>
        <v>0</v>
      </c>
      <c r="Q344" s="64" t="e">
        <f t="shared" si="46"/>
        <v>#DIV/0!</v>
      </c>
      <c r="R344" s="64" t="e">
        <f t="shared" si="47"/>
        <v>#DIV/0!</v>
      </c>
      <c r="S344" s="67" t="e">
        <f t="shared" si="43"/>
        <v>#DIV/0!</v>
      </c>
      <c r="T344" s="64" t="e">
        <f t="shared" si="44"/>
        <v>#DIV/0!</v>
      </c>
      <c r="U344" s="68" t="e">
        <f t="shared" si="45"/>
        <v>#DIV/0!</v>
      </c>
    </row>
    <row r="345" spans="1:21" x14ac:dyDescent="0.2">
      <c r="A345" s="61" t="s">
        <v>244</v>
      </c>
      <c r="B345" s="62" t="s">
        <v>253</v>
      </c>
      <c r="C345" s="62" t="s">
        <v>821</v>
      </c>
      <c r="D345" s="62" t="s">
        <v>866</v>
      </c>
      <c r="E345" s="63" t="s">
        <v>867</v>
      </c>
      <c r="F345" s="62" t="s">
        <v>257</v>
      </c>
      <c r="G345" s="62" t="s">
        <v>161</v>
      </c>
      <c r="H345" s="62" t="s">
        <v>12</v>
      </c>
      <c r="I345" s="62" t="s">
        <v>157</v>
      </c>
      <c r="J345" s="62"/>
      <c r="K345" s="64">
        <v>23.2</v>
      </c>
      <c r="L345" s="64">
        <f t="shared" si="42"/>
        <v>20.925490196078432</v>
      </c>
      <c r="M345" s="65">
        <f>prodnorm44</f>
        <v>0</v>
      </c>
      <c r="N345" s="66">
        <f>dagwerk44</f>
        <v>0</v>
      </c>
      <c r="O345" s="62" t="s">
        <v>45</v>
      </c>
      <c r="P345" s="67">
        <f>uurtarief44</f>
        <v>0</v>
      </c>
      <c r="Q345" s="64" t="e">
        <f t="shared" si="46"/>
        <v>#DIV/0!</v>
      </c>
      <c r="R345" s="64" t="e">
        <f t="shared" si="47"/>
        <v>#DIV/0!</v>
      </c>
      <c r="S345" s="67" t="e">
        <f t="shared" si="43"/>
        <v>#DIV/0!</v>
      </c>
      <c r="T345" s="64" t="e">
        <f t="shared" si="44"/>
        <v>#DIV/0!</v>
      </c>
      <c r="U345" s="68" t="e">
        <f t="shared" si="45"/>
        <v>#DIV/0!</v>
      </c>
    </row>
    <row r="346" spans="1:21" x14ac:dyDescent="0.2">
      <c r="A346" s="61" t="s">
        <v>244</v>
      </c>
      <c r="B346" s="62" t="s">
        <v>253</v>
      </c>
      <c r="C346" s="62" t="s">
        <v>821</v>
      </c>
      <c r="D346" s="62" t="s">
        <v>868</v>
      </c>
      <c r="E346" s="63" t="s">
        <v>869</v>
      </c>
      <c r="F346" s="62" t="s">
        <v>289</v>
      </c>
      <c r="G346" s="62" t="s">
        <v>205</v>
      </c>
      <c r="H346" s="62" t="s">
        <v>22</v>
      </c>
      <c r="I346" s="62" t="s">
        <v>157</v>
      </c>
      <c r="J346" s="62"/>
      <c r="K346" s="64">
        <v>4.5</v>
      </c>
      <c r="L346" s="64">
        <f t="shared" si="42"/>
        <v>0.9</v>
      </c>
      <c r="M346" s="65">
        <f>prodnorm83</f>
        <v>0</v>
      </c>
      <c r="N346" s="66">
        <f>dagwerk83</f>
        <v>0</v>
      </c>
      <c r="O346" s="62" t="s">
        <v>45</v>
      </c>
      <c r="P346" s="67">
        <f>uurtarief83</f>
        <v>0</v>
      </c>
      <c r="Q346" s="64" t="e">
        <f t="shared" si="46"/>
        <v>#DIV/0!</v>
      </c>
      <c r="R346" s="64" t="e">
        <f t="shared" si="47"/>
        <v>#DIV/0!</v>
      </c>
      <c r="S346" s="67" t="e">
        <f t="shared" si="43"/>
        <v>#DIV/0!</v>
      </c>
      <c r="T346" s="64" t="e">
        <f t="shared" si="44"/>
        <v>#DIV/0!</v>
      </c>
      <c r="U346" s="68" t="e">
        <f t="shared" si="45"/>
        <v>#DIV/0!</v>
      </c>
    </row>
    <row r="347" spans="1:21" x14ac:dyDescent="0.2">
      <c r="A347" s="61" t="s">
        <v>244</v>
      </c>
      <c r="B347" s="62" t="s">
        <v>253</v>
      </c>
      <c r="C347" s="62" t="s">
        <v>821</v>
      </c>
      <c r="D347" s="62" t="s">
        <v>870</v>
      </c>
      <c r="E347" s="63" t="s">
        <v>871</v>
      </c>
      <c r="F347" s="62" t="s">
        <v>257</v>
      </c>
      <c r="G347" s="62" t="s">
        <v>161</v>
      </c>
      <c r="H347" s="62" t="s">
        <v>17</v>
      </c>
      <c r="I347" s="62" t="s">
        <v>157</v>
      </c>
      <c r="J347" s="62"/>
      <c r="K347" s="64">
        <v>27</v>
      </c>
      <c r="L347" s="64">
        <f t="shared" si="42"/>
        <v>12.176470588235293</v>
      </c>
      <c r="M347" s="65">
        <f>prodnorm42</f>
        <v>0</v>
      </c>
      <c r="N347" s="66">
        <f>dagwerk42</f>
        <v>0</v>
      </c>
      <c r="O347" s="62" t="s">
        <v>45</v>
      </c>
      <c r="P347" s="67">
        <f>uurtarief42</f>
        <v>0</v>
      </c>
      <c r="Q347" s="64" t="e">
        <f t="shared" si="46"/>
        <v>#DIV/0!</v>
      </c>
      <c r="R347" s="64" t="e">
        <f t="shared" si="47"/>
        <v>#DIV/0!</v>
      </c>
      <c r="S347" s="67" t="e">
        <f t="shared" si="43"/>
        <v>#DIV/0!</v>
      </c>
      <c r="T347" s="64" t="e">
        <f t="shared" si="44"/>
        <v>#DIV/0!</v>
      </c>
      <c r="U347" s="68" t="e">
        <f t="shared" si="45"/>
        <v>#DIV/0!</v>
      </c>
    </row>
    <row r="348" spans="1:21" x14ac:dyDescent="0.2">
      <c r="A348" s="61" t="s">
        <v>244</v>
      </c>
      <c r="B348" s="62" t="s">
        <v>253</v>
      </c>
      <c r="C348" s="62" t="s">
        <v>821</v>
      </c>
      <c r="D348" s="62" t="s">
        <v>872</v>
      </c>
      <c r="E348" s="63" t="s">
        <v>871</v>
      </c>
      <c r="F348" s="62" t="s">
        <v>257</v>
      </c>
      <c r="G348" s="62" t="s">
        <v>161</v>
      </c>
      <c r="H348" s="62" t="s">
        <v>17</v>
      </c>
      <c r="I348" s="62" t="s">
        <v>157</v>
      </c>
      <c r="J348" s="62"/>
      <c r="K348" s="64">
        <v>36</v>
      </c>
      <c r="L348" s="64">
        <f t="shared" si="42"/>
        <v>16.235294117647058</v>
      </c>
      <c r="M348" s="65">
        <f>prodnorm42</f>
        <v>0</v>
      </c>
      <c r="N348" s="66">
        <f>dagwerk42</f>
        <v>0</v>
      </c>
      <c r="O348" s="62" t="s">
        <v>45</v>
      </c>
      <c r="P348" s="67">
        <f>uurtarief42</f>
        <v>0</v>
      </c>
      <c r="Q348" s="64" t="e">
        <f t="shared" si="46"/>
        <v>#DIV/0!</v>
      </c>
      <c r="R348" s="64" t="e">
        <f t="shared" si="47"/>
        <v>#DIV/0!</v>
      </c>
      <c r="S348" s="67" t="e">
        <f t="shared" si="43"/>
        <v>#DIV/0!</v>
      </c>
      <c r="T348" s="64" t="e">
        <f t="shared" si="44"/>
        <v>#DIV/0!</v>
      </c>
      <c r="U348" s="68" t="e">
        <f t="shared" si="45"/>
        <v>#DIV/0!</v>
      </c>
    </row>
    <row r="349" spans="1:21" x14ac:dyDescent="0.2">
      <c r="A349" s="61" t="s">
        <v>244</v>
      </c>
      <c r="B349" s="62" t="s">
        <v>253</v>
      </c>
      <c r="C349" s="62" t="s">
        <v>821</v>
      </c>
      <c r="D349" s="62" t="s">
        <v>873</v>
      </c>
      <c r="E349" s="63" t="s">
        <v>874</v>
      </c>
      <c r="F349" s="62" t="s">
        <v>249</v>
      </c>
      <c r="G349" s="62" t="s">
        <v>201</v>
      </c>
      <c r="H349" s="62" t="s">
        <v>12</v>
      </c>
      <c r="I349" s="62" t="s">
        <v>157</v>
      </c>
      <c r="J349" s="62"/>
      <c r="K349" s="64">
        <v>5.9</v>
      </c>
      <c r="L349" s="64">
        <f t="shared" si="42"/>
        <v>5.321568627450981</v>
      </c>
      <c r="M349" s="65">
        <f>prodnorm77</f>
        <v>0</v>
      </c>
      <c r="N349" s="66">
        <f>dagwerk77</f>
        <v>0</v>
      </c>
      <c r="O349" s="62" t="s">
        <v>45</v>
      </c>
      <c r="P349" s="67">
        <f>uurtarief77</f>
        <v>0</v>
      </c>
      <c r="Q349" s="64" t="e">
        <f t="shared" si="46"/>
        <v>#DIV/0!</v>
      </c>
      <c r="R349" s="64" t="e">
        <f t="shared" si="47"/>
        <v>#DIV/0!</v>
      </c>
      <c r="S349" s="67" t="e">
        <f t="shared" si="43"/>
        <v>#DIV/0!</v>
      </c>
      <c r="T349" s="64" t="e">
        <f t="shared" si="44"/>
        <v>#DIV/0!</v>
      </c>
      <c r="U349" s="68" t="e">
        <f t="shared" si="45"/>
        <v>#DIV/0!</v>
      </c>
    </row>
    <row r="350" spans="1:21" x14ac:dyDescent="0.2">
      <c r="A350" s="61" t="s">
        <v>244</v>
      </c>
      <c r="B350" s="62" t="s">
        <v>253</v>
      </c>
      <c r="C350" s="62" t="s">
        <v>821</v>
      </c>
      <c r="D350" s="62" t="s">
        <v>873</v>
      </c>
      <c r="E350" s="63" t="s">
        <v>874</v>
      </c>
      <c r="F350" s="62" t="s">
        <v>249</v>
      </c>
      <c r="G350" s="62" t="s">
        <v>203</v>
      </c>
      <c r="H350" s="62" t="s">
        <v>11</v>
      </c>
      <c r="I350" s="62" t="s">
        <v>157</v>
      </c>
      <c r="J350" s="62"/>
      <c r="K350" s="64">
        <v>5.9</v>
      </c>
      <c r="L350" s="64">
        <f t="shared" si="42"/>
        <v>5.9</v>
      </c>
      <c r="M350" s="65">
        <f>prodnorm80</f>
        <v>0</v>
      </c>
      <c r="N350" s="66">
        <f>dagwerk80</f>
        <v>0</v>
      </c>
      <c r="O350" s="62" t="s">
        <v>45</v>
      </c>
      <c r="P350" s="67">
        <f>uurtarief80</f>
        <v>0</v>
      </c>
      <c r="Q350" s="64" t="e">
        <f t="shared" si="46"/>
        <v>#DIV/0!</v>
      </c>
      <c r="R350" s="64" t="e">
        <f t="shared" si="47"/>
        <v>#DIV/0!</v>
      </c>
      <c r="S350" s="67" t="e">
        <f t="shared" si="43"/>
        <v>#DIV/0!</v>
      </c>
      <c r="T350" s="64" t="e">
        <f t="shared" si="44"/>
        <v>#DIV/0!</v>
      </c>
      <c r="U350" s="68" t="e">
        <f t="shared" si="45"/>
        <v>#DIV/0!</v>
      </c>
    </row>
    <row r="351" spans="1:21" x14ac:dyDescent="0.2">
      <c r="A351" s="61" t="s">
        <v>244</v>
      </c>
      <c r="B351" s="62" t="s">
        <v>253</v>
      </c>
      <c r="C351" s="62" t="s">
        <v>821</v>
      </c>
      <c r="D351" s="62" t="s">
        <v>875</v>
      </c>
      <c r="E351" s="63" t="s">
        <v>876</v>
      </c>
      <c r="F351" s="62" t="s">
        <v>249</v>
      </c>
      <c r="G351" s="62" t="s">
        <v>201</v>
      </c>
      <c r="H351" s="62" t="s">
        <v>12</v>
      </c>
      <c r="I351" s="62" t="s">
        <v>157</v>
      </c>
      <c r="J351" s="62"/>
      <c r="K351" s="64">
        <v>5.9</v>
      </c>
      <c r="L351" s="64">
        <f t="shared" si="42"/>
        <v>5.321568627450981</v>
      </c>
      <c r="M351" s="65">
        <f>prodnorm77</f>
        <v>0</v>
      </c>
      <c r="N351" s="66">
        <f>dagwerk77</f>
        <v>0</v>
      </c>
      <c r="O351" s="62" t="s">
        <v>45</v>
      </c>
      <c r="P351" s="67">
        <f>uurtarief77</f>
        <v>0</v>
      </c>
      <c r="Q351" s="64" t="e">
        <f t="shared" si="46"/>
        <v>#DIV/0!</v>
      </c>
      <c r="R351" s="64" t="e">
        <f t="shared" si="47"/>
        <v>#DIV/0!</v>
      </c>
      <c r="S351" s="67" t="e">
        <f t="shared" si="43"/>
        <v>#DIV/0!</v>
      </c>
      <c r="T351" s="64" t="e">
        <f t="shared" si="44"/>
        <v>#DIV/0!</v>
      </c>
      <c r="U351" s="68" t="e">
        <f t="shared" si="45"/>
        <v>#DIV/0!</v>
      </c>
    </row>
    <row r="352" spans="1:21" x14ac:dyDescent="0.2">
      <c r="A352" s="61" t="s">
        <v>244</v>
      </c>
      <c r="B352" s="62" t="s">
        <v>253</v>
      </c>
      <c r="C352" s="62" t="s">
        <v>821</v>
      </c>
      <c r="D352" s="62" t="s">
        <v>875</v>
      </c>
      <c r="E352" s="63" t="s">
        <v>876</v>
      </c>
      <c r="F352" s="62" t="s">
        <v>249</v>
      </c>
      <c r="G352" s="62" t="s">
        <v>203</v>
      </c>
      <c r="H352" s="62" t="s">
        <v>11</v>
      </c>
      <c r="I352" s="62" t="s">
        <v>157</v>
      </c>
      <c r="J352" s="62"/>
      <c r="K352" s="64">
        <v>5.9</v>
      </c>
      <c r="L352" s="64">
        <f t="shared" si="42"/>
        <v>5.9</v>
      </c>
      <c r="M352" s="65">
        <f>prodnorm80</f>
        <v>0</v>
      </c>
      <c r="N352" s="66">
        <f>dagwerk80</f>
        <v>0</v>
      </c>
      <c r="O352" s="62" t="s">
        <v>45</v>
      </c>
      <c r="P352" s="67">
        <f>uurtarief80</f>
        <v>0</v>
      </c>
      <c r="Q352" s="64" t="e">
        <f t="shared" si="46"/>
        <v>#DIV/0!</v>
      </c>
      <c r="R352" s="64" t="e">
        <f t="shared" si="47"/>
        <v>#DIV/0!</v>
      </c>
      <c r="S352" s="67" t="e">
        <f t="shared" si="43"/>
        <v>#DIV/0!</v>
      </c>
      <c r="T352" s="64" t="e">
        <f t="shared" si="44"/>
        <v>#DIV/0!</v>
      </c>
      <c r="U352" s="68" t="e">
        <f t="shared" si="45"/>
        <v>#DIV/0!</v>
      </c>
    </row>
    <row r="353" spans="1:21" x14ac:dyDescent="0.2">
      <c r="A353" s="61" t="s">
        <v>244</v>
      </c>
      <c r="B353" s="62" t="s">
        <v>253</v>
      </c>
      <c r="C353" s="62" t="s">
        <v>821</v>
      </c>
      <c r="D353" s="62" t="s">
        <v>877</v>
      </c>
      <c r="E353" s="63" t="s">
        <v>878</v>
      </c>
      <c r="F353" s="62" t="s">
        <v>257</v>
      </c>
      <c r="G353" s="62" t="s">
        <v>191</v>
      </c>
      <c r="H353" s="62" t="s">
        <v>12</v>
      </c>
      <c r="I353" s="62" t="s">
        <v>157</v>
      </c>
      <c r="J353" s="62"/>
      <c r="K353" s="64">
        <v>435.2</v>
      </c>
      <c r="L353" s="64">
        <f t="shared" si="42"/>
        <v>392.5333333333333</v>
      </c>
      <c r="M353" s="65">
        <f>prodnorm70</f>
        <v>0</v>
      </c>
      <c r="N353" s="66">
        <f>dagwerk70</f>
        <v>0</v>
      </c>
      <c r="O353" s="62" t="s">
        <v>45</v>
      </c>
      <c r="P353" s="67">
        <f>uurtarief70</f>
        <v>0</v>
      </c>
      <c r="Q353" s="64" t="e">
        <f t="shared" si="46"/>
        <v>#DIV/0!</v>
      </c>
      <c r="R353" s="64" t="e">
        <f t="shared" si="47"/>
        <v>#DIV/0!</v>
      </c>
      <c r="S353" s="67" t="e">
        <f t="shared" si="43"/>
        <v>#DIV/0!</v>
      </c>
      <c r="T353" s="64" t="e">
        <f t="shared" si="44"/>
        <v>#DIV/0!</v>
      </c>
      <c r="U353" s="68" t="e">
        <f t="shared" si="45"/>
        <v>#DIV/0!</v>
      </c>
    </row>
    <row r="354" spans="1:21" x14ac:dyDescent="0.2">
      <c r="A354" s="61" t="s">
        <v>244</v>
      </c>
      <c r="B354" s="62" t="s">
        <v>253</v>
      </c>
      <c r="C354" s="62" t="s">
        <v>821</v>
      </c>
      <c r="D354" s="62" t="s">
        <v>879</v>
      </c>
      <c r="E354" s="63" t="s">
        <v>880</v>
      </c>
      <c r="F354" s="62" t="s">
        <v>249</v>
      </c>
      <c r="G354" s="62" t="s">
        <v>207</v>
      </c>
      <c r="H354" s="62" t="s">
        <v>17</v>
      </c>
      <c r="I354" s="62" t="s">
        <v>157</v>
      </c>
      <c r="J354" s="62"/>
      <c r="K354" s="64">
        <v>99.6</v>
      </c>
      <c r="L354" s="64">
        <f t="shared" si="42"/>
        <v>44.917647058823526</v>
      </c>
      <c r="M354" s="65">
        <f>prodnorm84</f>
        <v>0</v>
      </c>
      <c r="N354" s="66">
        <f>dagwerk84</f>
        <v>0</v>
      </c>
      <c r="O354" s="62" t="s">
        <v>45</v>
      </c>
      <c r="P354" s="67">
        <f>uurtarief84</f>
        <v>0</v>
      </c>
      <c r="Q354" s="64" t="e">
        <f t="shared" si="46"/>
        <v>#DIV/0!</v>
      </c>
      <c r="R354" s="64" t="e">
        <f t="shared" si="47"/>
        <v>#DIV/0!</v>
      </c>
      <c r="S354" s="67" t="e">
        <f t="shared" si="43"/>
        <v>#DIV/0!</v>
      </c>
      <c r="T354" s="64" t="e">
        <f t="shared" si="44"/>
        <v>#DIV/0!</v>
      </c>
      <c r="U354" s="68" t="e">
        <f t="shared" si="45"/>
        <v>#DIV/0!</v>
      </c>
    </row>
    <row r="355" spans="1:21" x14ac:dyDescent="0.2">
      <c r="A355" s="61" t="s">
        <v>244</v>
      </c>
      <c r="B355" s="62" t="s">
        <v>253</v>
      </c>
      <c r="C355" s="62" t="s">
        <v>821</v>
      </c>
      <c r="D355" s="62" t="s">
        <v>881</v>
      </c>
      <c r="E355" s="63" t="s">
        <v>882</v>
      </c>
      <c r="F355" s="62" t="s">
        <v>249</v>
      </c>
      <c r="G355" s="62" t="s">
        <v>209</v>
      </c>
      <c r="H355" s="62" t="s">
        <v>28</v>
      </c>
      <c r="I355" s="62" t="s">
        <v>157</v>
      </c>
      <c r="J355" s="62"/>
      <c r="K355" s="64">
        <v>9.1999999999999993</v>
      </c>
      <c r="L355" s="64">
        <f t="shared" si="42"/>
        <v>0.21647058823529411</v>
      </c>
      <c r="M355" s="65">
        <f>prodnorm93</f>
        <v>0</v>
      </c>
      <c r="N355" s="66">
        <f>dagwerk93</f>
        <v>0</v>
      </c>
      <c r="O355" s="62" t="s">
        <v>45</v>
      </c>
      <c r="P355" s="67">
        <f>uurtarief93</f>
        <v>0</v>
      </c>
      <c r="Q355" s="64" t="e">
        <f t="shared" si="46"/>
        <v>#DIV/0!</v>
      </c>
      <c r="R355" s="64" t="e">
        <f t="shared" si="47"/>
        <v>#DIV/0!</v>
      </c>
      <c r="S355" s="67" t="e">
        <f t="shared" si="43"/>
        <v>#DIV/0!</v>
      </c>
      <c r="T355" s="64" t="e">
        <f t="shared" si="44"/>
        <v>#DIV/0!</v>
      </c>
      <c r="U355" s="68" t="e">
        <f t="shared" si="45"/>
        <v>#DIV/0!</v>
      </c>
    </row>
    <row r="356" spans="1:21" x14ac:dyDescent="0.2">
      <c r="A356" s="61" t="s">
        <v>244</v>
      </c>
      <c r="B356" s="62" t="s">
        <v>253</v>
      </c>
      <c r="C356" s="62" t="s">
        <v>821</v>
      </c>
      <c r="D356" s="62" t="s">
        <v>883</v>
      </c>
      <c r="E356" s="63" t="s">
        <v>884</v>
      </c>
      <c r="F356" s="62" t="s">
        <v>249</v>
      </c>
      <c r="G356" s="62" t="s">
        <v>201</v>
      </c>
      <c r="H356" s="62" t="s">
        <v>12</v>
      </c>
      <c r="I356" s="62" t="s">
        <v>157</v>
      </c>
      <c r="J356" s="62"/>
      <c r="K356" s="64">
        <v>7.5</v>
      </c>
      <c r="L356" s="64">
        <f t="shared" si="42"/>
        <v>6.7647058823529411</v>
      </c>
      <c r="M356" s="65">
        <f>prodnorm77</f>
        <v>0</v>
      </c>
      <c r="N356" s="66">
        <f>dagwerk77</f>
        <v>0</v>
      </c>
      <c r="O356" s="62" t="s">
        <v>45</v>
      </c>
      <c r="P356" s="67">
        <f>uurtarief77</f>
        <v>0</v>
      </c>
      <c r="Q356" s="64" t="e">
        <f t="shared" si="46"/>
        <v>#DIV/0!</v>
      </c>
      <c r="R356" s="64" t="e">
        <f t="shared" si="47"/>
        <v>#DIV/0!</v>
      </c>
      <c r="S356" s="67" t="e">
        <f t="shared" si="43"/>
        <v>#DIV/0!</v>
      </c>
      <c r="T356" s="64" t="e">
        <f t="shared" si="44"/>
        <v>#DIV/0!</v>
      </c>
      <c r="U356" s="68" t="e">
        <f t="shared" si="45"/>
        <v>#DIV/0!</v>
      </c>
    </row>
    <row r="357" spans="1:21" x14ac:dyDescent="0.2">
      <c r="A357" s="61" t="s">
        <v>244</v>
      </c>
      <c r="B357" s="62" t="s">
        <v>253</v>
      </c>
      <c r="C357" s="62" t="s">
        <v>821</v>
      </c>
      <c r="D357" s="62" t="s">
        <v>883</v>
      </c>
      <c r="E357" s="63" t="s">
        <v>884</v>
      </c>
      <c r="F357" s="62" t="s">
        <v>249</v>
      </c>
      <c r="G357" s="62" t="s">
        <v>203</v>
      </c>
      <c r="H357" s="62" t="s">
        <v>11</v>
      </c>
      <c r="I357" s="62" t="s">
        <v>157</v>
      </c>
      <c r="J357" s="62"/>
      <c r="K357" s="64">
        <v>7.5</v>
      </c>
      <c r="L357" s="64">
        <f t="shared" si="42"/>
        <v>7.5</v>
      </c>
      <c r="M357" s="65">
        <f>prodnorm80</f>
        <v>0</v>
      </c>
      <c r="N357" s="66">
        <f>dagwerk80</f>
        <v>0</v>
      </c>
      <c r="O357" s="62" t="s">
        <v>45</v>
      </c>
      <c r="P357" s="67">
        <f>uurtarief80</f>
        <v>0</v>
      </c>
      <c r="Q357" s="64" t="e">
        <f t="shared" si="46"/>
        <v>#DIV/0!</v>
      </c>
      <c r="R357" s="64" t="e">
        <f t="shared" si="47"/>
        <v>#DIV/0!</v>
      </c>
      <c r="S357" s="67" t="e">
        <f t="shared" si="43"/>
        <v>#DIV/0!</v>
      </c>
      <c r="T357" s="64" t="e">
        <f t="shared" si="44"/>
        <v>#DIV/0!</v>
      </c>
      <c r="U357" s="68" t="e">
        <f t="shared" si="45"/>
        <v>#DIV/0!</v>
      </c>
    </row>
    <row r="358" spans="1:21" x14ac:dyDescent="0.2">
      <c r="A358" s="61" t="s">
        <v>244</v>
      </c>
      <c r="B358" s="62" t="s">
        <v>253</v>
      </c>
      <c r="C358" s="62" t="s">
        <v>821</v>
      </c>
      <c r="D358" s="62" t="s">
        <v>885</v>
      </c>
      <c r="E358" s="63" t="s">
        <v>886</v>
      </c>
      <c r="F358" s="62" t="s">
        <v>249</v>
      </c>
      <c r="G358" s="62" t="s">
        <v>201</v>
      </c>
      <c r="H358" s="62" t="s">
        <v>12</v>
      </c>
      <c r="I358" s="62" t="s">
        <v>157</v>
      </c>
      <c r="J358" s="62"/>
      <c r="K358" s="64">
        <v>8.5</v>
      </c>
      <c r="L358" s="64">
        <f t="shared" si="42"/>
        <v>7.666666666666667</v>
      </c>
      <c r="M358" s="65">
        <f>prodnorm77</f>
        <v>0</v>
      </c>
      <c r="N358" s="66">
        <f>dagwerk77</f>
        <v>0</v>
      </c>
      <c r="O358" s="62" t="s">
        <v>45</v>
      </c>
      <c r="P358" s="67">
        <f>uurtarief77</f>
        <v>0</v>
      </c>
      <c r="Q358" s="64" t="e">
        <f t="shared" si="46"/>
        <v>#DIV/0!</v>
      </c>
      <c r="R358" s="64" t="e">
        <f t="shared" si="47"/>
        <v>#DIV/0!</v>
      </c>
      <c r="S358" s="67" t="e">
        <f t="shared" si="43"/>
        <v>#DIV/0!</v>
      </c>
      <c r="T358" s="64" t="e">
        <f t="shared" si="44"/>
        <v>#DIV/0!</v>
      </c>
      <c r="U358" s="68" t="e">
        <f t="shared" si="45"/>
        <v>#DIV/0!</v>
      </c>
    </row>
    <row r="359" spans="1:21" x14ac:dyDescent="0.2">
      <c r="A359" s="61" t="s">
        <v>244</v>
      </c>
      <c r="B359" s="62" t="s">
        <v>253</v>
      </c>
      <c r="C359" s="62" t="s">
        <v>821</v>
      </c>
      <c r="D359" s="62" t="s">
        <v>885</v>
      </c>
      <c r="E359" s="63" t="s">
        <v>886</v>
      </c>
      <c r="F359" s="62" t="s">
        <v>249</v>
      </c>
      <c r="G359" s="62" t="s">
        <v>203</v>
      </c>
      <c r="H359" s="62" t="s">
        <v>11</v>
      </c>
      <c r="I359" s="62" t="s">
        <v>157</v>
      </c>
      <c r="J359" s="62"/>
      <c r="K359" s="64">
        <v>8.5</v>
      </c>
      <c r="L359" s="64">
        <f t="shared" si="42"/>
        <v>8.5</v>
      </c>
      <c r="M359" s="65">
        <f>prodnorm80</f>
        <v>0</v>
      </c>
      <c r="N359" s="66">
        <f>dagwerk80</f>
        <v>0</v>
      </c>
      <c r="O359" s="62" t="s">
        <v>45</v>
      </c>
      <c r="P359" s="67">
        <f>uurtarief80</f>
        <v>0</v>
      </c>
      <c r="Q359" s="64" t="e">
        <f t="shared" si="46"/>
        <v>#DIV/0!</v>
      </c>
      <c r="R359" s="64" t="e">
        <f t="shared" si="47"/>
        <v>#DIV/0!</v>
      </c>
      <c r="S359" s="67" t="e">
        <f t="shared" si="43"/>
        <v>#DIV/0!</v>
      </c>
      <c r="T359" s="64" t="e">
        <f t="shared" si="44"/>
        <v>#DIV/0!</v>
      </c>
      <c r="U359" s="68" t="e">
        <f t="shared" si="45"/>
        <v>#DIV/0!</v>
      </c>
    </row>
    <row r="360" spans="1:21" x14ac:dyDescent="0.2">
      <c r="A360" s="61" t="s">
        <v>244</v>
      </c>
      <c r="B360" s="62" t="s">
        <v>253</v>
      </c>
      <c r="C360" s="62" t="s">
        <v>821</v>
      </c>
      <c r="D360" s="62" t="s">
        <v>887</v>
      </c>
      <c r="E360" s="63" t="s">
        <v>888</v>
      </c>
      <c r="F360" s="62" t="s">
        <v>249</v>
      </c>
      <c r="G360" s="62" t="s">
        <v>209</v>
      </c>
      <c r="H360" s="62" t="s">
        <v>12</v>
      </c>
      <c r="I360" s="62" t="s">
        <v>157</v>
      </c>
      <c r="J360" s="62"/>
      <c r="K360" s="64">
        <v>57.8</v>
      </c>
      <c r="L360" s="64">
        <f t="shared" si="42"/>
        <v>52.133333333333333</v>
      </c>
      <c r="M360" s="65">
        <f>prodnorm91</f>
        <v>0</v>
      </c>
      <c r="N360" s="66">
        <f>dagwerk91</f>
        <v>0</v>
      </c>
      <c r="O360" s="62" t="s">
        <v>45</v>
      </c>
      <c r="P360" s="67">
        <f>uurtarief91</f>
        <v>0</v>
      </c>
      <c r="Q360" s="64" t="e">
        <f t="shared" si="46"/>
        <v>#DIV/0!</v>
      </c>
      <c r="R360" s="64" t="e">
        <f t="shared" si="47"/>
        <v>#DIV/0!</v>
      </c>
      <c r="S360" s="67" t="e">
        <f t="shared" si="43"/>
        <v>#DIV/0!</v>
      </c>
      <c r="T360" s="64" t="e">
        <f t="shared" si="44"/>
        <v>#DIV/0!</v>
      </c>
      <c r="U360" s="68" t="e">
        <f t="shared" si="45"/>
        <v>#DIV/0!</v>
      </c>
    </row>
    <row r="361" spans="1:21" ht="25.5" x14ac:dyDescent="0.2">
      <c r="A361" s="61" t="s">
        <v>244</v>
      </c>
      <c r="B361" s="62" t="s">
        <v>253</v>
      </c>
      <c r="C361" s="62" t="s">
        <v>821</v>
      </c>
      <c r="D361" s="62" t="s">
        <v>889</v>
      </c>
      <c r="E361" s="63" t="s">
        <v>890</v>
      </c>
      <c r="F361" s="62" t="s">
        <v>257</v>
      </c>
      <c r="G361" s="62" t="s">
        <v>207</v>
      </c>
      <c r="H361" s="62" t="s">
        <v>17</v>
      </c>
      <c r="I361" s="62" t="s">
        <v>157</v>
      </c>
      <c r="J361" s="62"/>
      <c r="K361" s="64">
        <v>43.1</v>
      </c>
      <c r="L361" s="64">
        <f t="shared" si="42"/>
        <v>19.437254901960785</v>
      </c>
      <c r="M361" s="65">
        <f>prodnorm84</f>
        <v>0</v>
      </c>
      <c r="N361" s="66">
        <f>dagwerk84</f>
        <v>0</v>
      </c>
      <c r="O361" s="62" t="s">
        <v>45</v>
      </c>
      <c r="P361" s="67">
        <f>uurtarief84</f>
        <v>0</v>
      </c>
      <c r="Q361" s="64" t="e">
        <f t="shared" si="46"/>
        <v>#DIV/0!</v>
      </c>
      <c r="R361" s="64" t="e">
        <f t="shared" si="47"/>
        <v>#DIV/0!</v>
      </c>
      <c r="S361" s="67" t="e">
        <f t="shared" si="43"/>
        <v>#DIV/0!</v>
      </c>
      <c r="T361" s="64" t="e">
        <f t="shared" si="44"/>
        <v>#DIV/0!</v>
      </c>
      <c r="U361" s="68" t="e">
        <f t="shared" si="45"/>
        <v>#DIV/0!</v>
      </c>
    </row>
    <row r="362" spans="1:21" x14ac:dyDescent="0.2">
      <c r="A362" s="61" t="s">
        <v>244</v>
      </c>
      <c r="B362" s="62" t="s">
        <v>253</v>
      </c>
      <c r="C362" s="62" t="s">
        <v>821</v>
      </c>
      <c r="D362" s="62" t="s">
        <v>891</v>
      </c>
      <c r="E362" s="63" t="s">
        <v>892</v>
      </c>
      <c r="F362" s="62" t="s">
        <v>289</v>
      </c>
      <c r="G362" s="62" t="s">
        <v>205</v>
      </c>
      <c r="H362" s="62" t="s">
        <v>22</v>
      </c>
      <c r="I362" s="62" t="s">
        <v>157</v>
      </c>
      <c r="J362" s="62"/>
      <c r="K362" s="64">
        <v>16.3</v>
      </c>
      <c r="L362" s="64">
        <f t="shared" si="42"/>
        <v>3.2600000000000002</v>
      </c>
      <c r="M362" s="65">
        <f>prodnorm83</f>
        <v>0</v>
      </c>
      <c r="N362" s="66">
        <f>dagwerk83</f>
        <v>0</v>
      </c>
      <c r="O362" s="62" t="s">
        <v>45</v>
      </c>
      <c r="P362" s="67">
        <f>uurtarief83</f>
        <v>0</v>
      </c>
      <c r="Q362" s="64" t="e">
        <f t="shared" si="46"/>
        <v>#DIV/0!</v>
      </c>
      <c r="R362" s="64" t="e">
        <f t="shared" si="47"/>
        <v>#DIV/0!</v>
      </c>
      <c r="S362" s="67" t="e">
        <f t="shared" si="43"/>
        <v>#DIV/0!</v>
      </c>
      <c r="T362" s="64" t="e">
        <f t="shared" si="44"/>
        <v>#DIV/0!</v>
      </c>
      <c r="U362" s="68" t="e">
        <f t="shared" si="45"/>
        <v>#DIV/0!</v>
      </c>
    </row>
    <row r="363" spans="1:21" x14ac:dyDescent="0.2">
      <c r="A363" s="61" t="s">
        <v>244</v>
      </c>
      <c r="B363" s="62" t="s">
        <v>253</v>
      </c>
      <c r="C363" s="62" t="s">
        <v>821</v>
      </c>
      <c r="D363" s="62" t="s">
        <v>893</v>
      </c>
      <c r="E363" s="63" t="s">
        <v>894</v>
      </c>
      <c r="F363" s="62" t="s">
        <v>257</v>
      </c>
      <c r="G363" s="62" t="s">
        <v>207</v>
      </c>
      <c r="H363" s="62" t="s">
        <v>17</v>
      </c>
      <c r="I363" s="62" t="s">
        <v>157</v>
      </c>
      <c r="J363" s="62"/>
      <c r="K363" s="64">
        <v>119</v>
      </c>
      <c r="L363" s="64">
        <f t="shared" si="42"/>
        <v>53.666666666666664</v>
      </c>
      <c r="M363" s="65">
        <f>prodnorm84</f>
        <v>0</v>
      </c>
      <c r="N363" s="66">
        <f>dagwerk84</f>
        <v>0</v>
      </c>
      <c r="O363" s="62" t="s">
        <v>45</v>
      </c>
      <c r="P363" s="67">
        <f>uurtarief84</f>
        <v>0</v>
      </c>
      <c r="Q363" s="64" t="e">
        <f t="shared" si="46"/>
        <v>#DIV/0!</v>
      </c>
      <c r="R363" s="64" t="e">
        <f t="shared" si="47"/>
        <v>#DIV/0!</v>
      </c>
      <c r="S363" s="67" t="e">
        <f t="shared" si="43"/>
        <v>#DIV/0!</v>
      </c>
      <c r="T363" s="64" t="e">
        <f t="shared" si="44"/>
        <v>#DIV/0!</v>
      </c>
      <c r="U363" s="68" t="e">
        <f t="shared" si="45"/>
        <v>#DIV/0!</v>
      </c>
    </row>
    <row r="364" spans="1:21" x14ac:dyDescent="0.2">
      <c r="A364" s="61" t="s">
        <v>244</v>
      </c>
      <c r="B364" s="62" t="s">
        <v>253</v>
      </c>
      <c r="C364" s="62" t="s">
        <v>821</v>
      </c>
      <c r="D364" s="62" t="s">
        <v>895</v>
      </c>
      <c r="E364" s="63" t="s">
        <v>304</v>
      </c>
      <c r="F364" s="62" t="s">
        <v>257</v>
      </c>
      <c r="G364" s="62" t="s">
        <v>207</v>
      </c>
      <c r="H364" s="62" t="s">
        <v>17</v>
      </c>
      <c r="I364" s="62" t="s">
        <v>157</v>
      </c>
      <c r="J364" s="62"/>
      <c r="K364" s="64">
        <v>35.4</v>
      </c>
      <c r="L364" s="64">
        <f t="shared" si="42"/>
        <v>15.964705882352941</v>
      </c>
      <c r="M364" s="65">
        <f>prodnorm84</f>
        <v>0</v>
      </c>
      <c r="N364" s="66">
        <f>dagwerk84</f>
        <v>0</v>
      </c>
      <c r="O364" s="62" t="s">
        <v>45</v>
      </c>
      <c r="P364" s="67">
        <f>uurtarief84</f>
        <v>0</v>
      </c>
      <c r="Q364" s="64" t="e">
        <f t="shared" si="46"/>
        <v>#DIV/0!</v>
      </c>
      <c r="R364" s="64" t="e">
        <f t="shared" si="47"/>
        <v>#DIV/0!</v>
      </c>
      <c r="S364" s="67" t="e">
        <f t="shared" si="43"/>
        <v>#DIV/0!</v>
      </c>
      <c r="T364" s="64" t="e">
        <f t="shared" si="44"/>
        <v>#DIV/0!</v>
      </c>
      <c r="U364" s="68" t="e">
        <f t="shared" si="45"/>
        <v>#DIV/0!</v>
      </c>
    </row>
    <row r="365" spans="1:21" x14ac:dyDescent="0.2">
      <c r="A365" s="61" t="s">
        <v>244</v>
      </c>
      <c r="B365" s="62" t="s">
        <v>253</v>
      </c>
      <c r="C365" s="62" t="s">
        <v>821</v>
      </c>
      <c r="D365" s="62" t="s">
        <v>896</v>
      </c>
      <c r="E365" s="63" t="s">
        <v>897</v>
      </c>
      <c r="F365" s="62" t="s">
        <v>257</v>
      </c>
      <c r="G365" s="62" t="s">
        <v>191</v>
      </c>
      <c r="H365" s="62" t="s">
        <v>23</v>
      </c>
      <c r="I365" s="62" t="s">
        <v>157</v>
      </c>
      <c r="J365" s="62"/>
      <c r="K365" s="64">
        <v>87</v>
      </c>
      <c r="L365" s="64">
        <f t="shared" si="42"/>
        <v>15.694117647058823</v>
      </c>
      <c r="M365" s="65">
        <f>prodnorm71</f>
        <v>0</v>
      </c>
      <c r="N365" s="66">
        <f>dagwerk71</f>
        <v>0</v>
      </c>
      <c r="O365" s="62" t="s">
        <v>45</v>
      </c>
      <c r="P365" s="67">
        <f>uurtarief71</f>
        <v>0</v>
      </c>
      <c r="Q365" s="64" t="e">
        <f t="shared" si="46"/>
        <v>#DIV/0!</v>
      </c>
      <c r="R365" s="64" t="e">
        <f t="shared" si="47"/>
        <v>#DIV/0!</v>
      </c>
      <c r="S365" s="67" t="e">
        <f t="shared" si="43"/>
        <v>#DIV/0!</v>
      </c>
      <c r="T365" s="64" t="e">
        <f t="shared" si="44"/>
        <v>#DIV/0!</v>
      </c>
      <c r="U365" s="68" t="e">
        <f t="shared" si="45"/>
        <v>#DIV/0!</v>
      </c>
    </row>
    <row r="366" spans="1:21" x14ac:dyDescent="0.2">
      <c r="A366" s="61" t="s">
        <v>244</v>
      </c>
      <c r="B366" s="62" t="s">
        <v>253</v>
      </c>
      <c r="C366" s="62" t="s">
        <v>821</v>
      </c>
      <c r="D366" s="62" t="s">
        <v>898</v>
      </c>
      <c r="E366" s="63" t="s">
        <v>897</v>
      </c>
      <c r="F366" s="62" t="s">
        <v>249</v>
      </c>
      <c r="G366" s="62" t="s">
        <v>191</v>
      </c>
      <c r="H366" s="62" t="s">
        <v>23</v>
      </c>
      <c r="I366" s="62" t="s">
        <v>157</v>
      </c>
      <c r="J366" s="62"/>
      <c r="K366" s="64">
        <v>19.2</v>
      </c>
      <c r="L366" s="64">
        <f t="shared" si="42"/>
        <v>3.4635294117647057</v>
      </c>
      <c r="M366" s="65">
        <f>prodnorm71</f>
        <v>0</v>
      </c>
      <c r="N366" s="66">
        <f>dagwerk71</f>
        <v>0</v>
      </c>
      <c r="O366" s="62" t="s">
        <v>45</v>
      </c>
      <c r="P366" s="67">
        <f>uurtarief71</f>
        <v>0</v>
      </c>
      <c r="Q366" s="64" t="e">
        <f t="shared" si="46"/>
        <v>#DIV/0!</v>
      </c>
      <c r="R366" s="64" t="e">
        <f t="shared" si="47"/>
        <v>#DIV/0!</v>
      </c>
      <c r="S366" s="67" t="e">
        <f t="shared" si="43"/>
        <v>#DIV/0!</v>
      </c>
      <c r="T366" s="64" t="e">
        <f t="shared" si="44"/>
        <v>#DIV/0!</v>
      </c>
      <c r="U366" s="68" t="e">
        <f t="shared" si="45"/>
        <v>#DIV/0!</v>
      </c>
    </row>
    <row r="367" spans="1:21" x14ac:dyDescent="0.2">
      <c r="A367" s="61" t="s">
        <v>244</v>
      </c>
      <c r="B367" s="62" t="s">
        <v>253</v>
      </c>
      <c r="C367" s="62" t="s">
        <v>821</v>
      </c>
      <c r="D367" s="62" t="s">
        <v>899</v>
      </c>
      <c r="E367" s="63" t="s">
        <v>897</v>
      </c>
      <c r="F367" s="62" t="s">
        <v>249</v>
      </c>
      <c r="G367" s="62" t="s">
        <v>191</v>
      </c>
      <c r="H367" s="62" t="s">
        <v>23</v>
      </c>
      <c r="I367" s="62" t="s">
        <v>157</v>
      </c>
      <c r="J367" s="62"/>
      <c r="K367" s="64">
        <v>7.5</v>
      </c>
      <c r="L367" s="64">
        <f t="shared" si="42"/>
        <v>1.3529411764705883</v>
      </c>
      <c r="M367" s="65">
        <f>prodnorm71</f>
        <v>0</v>
      </c>
      <c r="N367" s="66">
        <f>dagwerk71</f>
        <v>0</v>
      </c>
      <c r="O367" s="62" t="s">
        <v>45</v>
      </c>
      <c r="P367" s="67">
        <f>uurtarief71</f>
        <v>0</v>
      </c>
      <c r="Q367" s="64" t="e">
        <f t="shared" si="46"/>
        <v>#DIV/0!</v>
      </c>
      <c r="R367" s="64" t="e">
        <f t="shared" si="47"/>
        <v>#DIV/0!</v>
      </c>
      <c r="S367" s="67" t="e">
        <f t="shared" si="43"/>
        <v>#DIV/0!</v>
      </c>
      <c r="T367" s="64" t="e">
        <f t="shared" si="44"/>
        <v>#DIV/0!</v>
      </c>
      <c r="U367" s="68" t="e">
        <f t="shared" si="45"/>
        <v>#DIV/0!</v>
      </c>
    </row>
    <row r="368" spans="1:21" x14ac:dyDescent="0.2">
      <c r="A368" s="61" t="s">
        <v>244</v>
      </c>
      <c r="B368" s="62" t="s">
        <v>253</v>
      </c>
      <c r="C368" s="62" t="s">
        <v>821</v>
      </c>
      <c r="D368" s="62" t="s">
        <v>900</v>
      </c>
      <c r="E368" s="63" t="s">
        <v>901</v>
      </c>
      <c r="F368" s="62" t="s">
        <v>249</v>
      </c>
      <c r="G368" s="62" t="s">
        <v>207</v>
      </c>
      <c r="H368" s="62" t="s">
        <v>17</v>
      </c>
      <c r="I368" s="62" t="s">
        <v>157</v>
      </c>
      <c r="J368" s="62"/>
      <c r="K368" s="64">
        <v>37.200000000000003</v>
      </c>
      <c r="L368" s="64">
        <f t="shared" si="42"/>
        <v>16.776470588235295</v>
      </c>
      <c r="M368" s="65">
        <f>prodnorm84</f>
        <v>0</v>
      </c>
      <c r="N368" s="66">
        <f>dagwerk84</f>
        <v>0</v>
      </c>
      <c r="O368" s="62" t="s">
        <v>45</v>
      </c>
      <c r="P368" s="67">
        <f>uurtarief84</f>
        <v>0</v>
      </c>
      <c r="Q368" s="64" t="e">
        <f t="shared" si="46"/>
        <v>#DIV/0!</v>
      </c>
      <c r="R368" s="64" t="e">
        <f t="shared" si="47"/>
        <v>#DIV/0!</v>
      </c>
      <c r="S368" s="67" t="e">
        <f t="shared" si="43"/>
        <v>#DIV/0!</v>
      </c>
      <c r="T368" s="64" t="e">
        <f t="shared" si="44"/>
        <v>#DIV/0!</v>
      </c>
      <c r="U368" s="68" t="e">
        <f t="shared" si="45"/>
        <v>#DIV/0!</v>
      </c>
    </row>
    <row r="369" spans="1:21" x14ac:dyDescent="0.2">
      <c r="A369" s="61" t="s">
        <v>244</v>
      </c>
      <c r="B369" s="62" t="s">
        <v>253</v>
      </c>
      <c r="C369" s="62" t="s">
        <v>821</v>
      </c>
      <c r="D369" s="62" t="s">
        <v>902</v>
      </c>
      <c r="E369" s="63" t="s">
        <v>903</v>
      </c>
      <c r="F369" s="62" t="s">
        <v>257</v>
      </c>
      <c r="G369" s="62" t="s">
        <v>181</v>
      </c>
      <c r="H369" s="62" t="s">
        <v>12</v>
      </c>
      <c r="I369" s="62" t="s">
        <v>157</v>
      </c>
      <c r="J369" s="62"/>
      <c r="K369" s="64">
        <v>83.6</v>
      </c>
      <c r="L369" s="64">
        <f t="shared" si="42"/>
        <v>75.403921568627453</v>
      </c>
      <c r="M369" s="65">
        <f>prodnorm62</f>
        <v>0</v>
      </c>
      <c r="N369" s="66">
        <f>dagwerk62</f>
        <v>0</v>
      </c>
      <c r="O369" s="62" t="s">
        <v>45</v>
      </c>
      <c r="P369" s="67">
        <f>uurtarief62</f>
        <v>0</v>
      </c>
      <c r="Q369" s="64" t="e">
        <f t="shared" si="46"/>
        <v>#DIV/0!</v>
      </c>
      <c r="R369" s="64" t="e">
        <f t="shared" si="47"/>
        <v>#DIV/0!</v>
      </c>
      <c r="S369" s="67" t="e">
        <f t="shared" si="43"/>
        <v>#DIV/0!</v>
      </c>
      <c r="T369" s="64" t="e">
        <f t="shared" si="44"/>
        <v>#DIV/0!</v>
      </c>
      <c r="U369" s="68" t="e">
        <f t="shared" si="45"/>
        <v>#DIV/0!</v>
      </c>
    </row>
    <row r="370" spans="1:21" x14ac:dyDescent="0.2">
      <c r="A370" s="61" t="s">
        <v>244</v>
      </c>
      <c r="B370" s="62" t="s">
        <v>253</v>
      </c>
      <c r="C370" s="62" t="s">
        <v>821</v>
      </c>
      <c r="D370" s="62" t="s">
        <v>904</v>
      </c>
      <c r="E370" s="63" t="s">
        <v>905</v>
      </c>
      <c r="F370" s="62" t="s">
        <v>257</v>
      </c>
      <c r="G370" s="62" t="s">
        <v>161</v>
      </c>
      <c r="H370" s="62" t="s">
        <v>17</v>
      </c>
      <c r="I370" s="62" t="s">
        <v>157</v>
      </c>
      <c r="J370" s="62"/>
      <c r="K370" s="64">
        <v>42</v>
      </c>
      <c r="L370" s="64">
        <f t="shared" si="42"/>
        <v>18.941176470588236</v>
      </c>
      <c r="M370" s="65">
        <f>prodnorm42</f>
        <v>0</v>
      </c>
      <c r="N370" s="66">
        <f>dagwerk42</f>
        <v>0</v>
      </c>
      <c r="O370" s="62" t="s">
        <v>45</v>
      </c>
      <c r="P370" s="67">
        <f>uurtarief42</f>
        <v>0</v>
      </c>
      <c r="Q370" s="64" t="e">
        <f t="shared" si="46"/>
        <v>#DIV/0!</v>
      </c>
      <c r="R370" s="64" t="e">
        <f t="shared" si="47"/>
        <v>#DIV/0!</v>
      </c>
      <c r="S370" s="67" t="e">
        <f t="shared" si="43"/>
        <v>#DIV/0!</v>
      </c>
      <c r="T370" s="64" t="e">
        <f t="shared" si="44"/>
        <v>#DIV/0!</v>
      </c>
      <c r="U370" s="68" t="e">
        <f t="shared" si="45"/>
        <v>#DIV/0!</v>
      </c>
    </row>
    <row r="371" spans="1:21" x14ac:dyDescent="0.2">
      <c r="A371" s="61" t="s">
        <v>244</v>
      </c>
      <c r="B371" s="62" t="s">
        <v>253</v>
      </c>
      <c r="C371" s="62" t="s">
        <v>821</v>
      </c>
      <c r="D371" s="62" t="s">
        <v>906</v>
      </c>
      <c r="E371" s="63" t="s">
        <v>907</v>
      </c>
      <c r="F371" s="62" t="s">
        <v>257</v>
      </c>
      <c r="G371" s="62" t="s">
        <v>183</v>
      </c>
      <c r="H371" s="62" t="s">
        <v>12</v>
      </c>
      <c r="I371" s="62" t="s">
        <v>157</v>
      </c>
      <c r="J371" s="62"/>
      <c r="K371" s="64">
        <v>28</v>
      </c>
      <c r="L371" s="64">
        <f t="shared" si="42"/>
        <v>25.254901960784313</v>
      </c>
      <c r="M371" s="65">
        <f>prodnorm65</f>
        <v>0</v>
      </c>
      <c r="N371" s="66">
        <f>dagwerk65</f>
        <v>0</v>
      </c>
      <c r="O371" s="62" t="s">
        <v>45</v>
      </c>
      <c r="P371" s="67">
        <f>uurtarief65</f>
        <v>0</v>
      </c>
      <c r="Q371" s="64" t="e">
        <f t="shared" si="46"/>
        <v>#DIV/0!</v>
      </c>
      <c r="R371" s="64" t="e">
        <f t="shared" si="47"/>
        <v>#DIV/0!</v>
      </c>
      <c r="S371" s="67" t="e">
        <f t="shared" si="43"/>
        <v>#DIV/0!</v>
      </c>
      <c r="T371" s="64" t="e">
        <f t="shared" si="44"/>
        <v>#DIV/0!</v>
      </c>
      <c r="U371" s="68" t="e">
        <f t="shared" si="45"/>
        <v>#DIV/0!</v>
      </c>
    </row>
    <row r="372" spans="1:21" x14ac:dyDescent="0.2">
      <c r="A372" s="61" t="s">
        <v>244</v>
      </c>
      <c r="B372" s="62" t="s">
        <v>253</v>
      </c>
      <c r="C372" s="62" t="s">
        <v>821</v>
      </c>
      <c r="D372" s="62" t="s">
        <v>908</v>
      </c>
      <c r="E372" s="63" t="s">
        <v>909</v>
      </c>
      <c r="F372" s="62" t="s">
        <v>257</v>
      </c>
      <c r="G372" s="62" t="s">
        <v>183</v>
      </c>
      <c r="H372" s="62" t="s">
        <v>12</v>
      </c>
      <c r="I372" s="62" t="s">
        <v>157</v>
      </c>
      <c r="J372" s="62"/>
      <c r="K372" s="64">
        <v>28.1</v>
      </c>
      <c r="L372" s="64">
        <f t="shared" si="42"/>
        <v>25.345098039215689</v>
      </c>
      <c r="M372" s="65">
        <f>prodnorm65</f>
        <v>0</v>
      </c>
      <c r="N372" s="66">
        <f>dagwerk65</f>
        <v>0</v>
      </c>
      <c r="O372" s="62" t="s">
        <v>45</v>
      </c>
      <c r="P372" s="67">
        <f>uurtarief65</f>
        <v>0</v>
      </c>
      <c r="Q372" s="64" t="e">
        <f t="shared" si="46"/>
        <v>#DIV/0!</v>
      </c>
      <c r="R372" s="64" t="e">
        <f t="shared" si="47"/>
        <v>#DIV/0!</v>
      </c>
      <c r="S372" s="67" t="e">
        <f t="shared" si="43"/>
        <v>#DIV/0!</v>
      </c>
      <c r="T372" s="64" t="e">
        <f t="shared" si="44"/>
        <v>#DIV/0!</v>
      </c>
      <c r="U372" s="68" t="e">
        <f t="shared" si="45"/>
        <v>#DIV/0!</v>
      </c>
    </row>
    <row r="373" spans="1:21" x14ac:dyDescent="0.2">
      <c r="A373" s="61" t="s">
        <v>244</v>
      </c>
      <c r="B373" s="62" t="s">
        <v>253</v>
      </c>
      <c r="C373" s="62" t="s">
        <v>821</v>
      </c>
      <c r="D373" s="62" t="s">
        <v>910</v>
      </c>
      <c r="E373" s="63" t="s">
        <v>911</v>
      </c>
      <c r="F373" s="62" t="s">
        <v>257</v>
      </c>
      <c r="G373" s="62" t="s">
        <v>197</v>
      </c>
      <c r="H373" s="62" t="s">
        <v>12</v>
      </c>
      <c r="I373" s="62" t="s">
        <v>157</v>
      </c>
      <c r="J373" s="62"/>
      <c r="K373" s="64">
        <v>26</v>
      </c>
      <c r="L373" s="64">
        <f t="shared" si="42"/>
        <v>23.450980392156865</v>
      </c>
      <c r="M373" s="65">
        <f>prodnorm75</f>
        <v>0</v>
      </c>
      <c r="N373" s="66">
        <f>dagwerk75</f>
        <v>0</v>
      </c>
      <c r="O373" s="62" t="s">
        <v>45</v>
      </c>
      <c r="P373" s="67">
        <f>uurtarief75</f>
        <v>0</v>
      </c>
      <c r="Q373" s="64" t="e">
        <f t="shared" si="46"/>
        <v>#DIV/0!</v>
      </c>
      <c r="R373" s="64" t="e">
        <f t="shared" si="47"/>
        <v>#DIV/0!</v>
      </c>
      <c r="S373" s="67" t="e">
        <f t="shared" si="43"/>
        <v>#DIV/0!</v>
      </c>
      <c r="T373" s="64" t="e">
        <f t="shared" si="44"/>
        <v>#DIV/0!</v>
      </c>
      <c r="U373" s="68" t="e">
        <f t="shared" si="45"/>
        <v>#DIV/0!</v>
      </c>
    </row>
    <row r="374" spans="1:21" x14ac:dyDescent="0.2">
      <c r="A374" s="61" t="s">
        <v>244</v>
      </c>
      <c r="B374" s="62" t="s">
        <v>253</v>
      </c>
      <c r="C374" s="62" t="s">
        <v>821</v>
      </c>
      <c r="D374" s="62" t="s">
        <v>912</v>
      </c>
      <c r="E374" s="63" t="s">
        <v>913</v>
      </c>
      <c r="F374" s="62" t="s">
        <v>257</v>
      </c>
      <c r="G374" s="62" t="s">
        <v>156</v>
      </c>
      <c r="H374" s="62" t="s">
        <v>28</v>
      </c>
      <c r="I374" s="62" t="s">
        <v>157</v>
      </c>
      <c r="J374" s="62"/>
      <c r="K374" s="64">
        <v>65.3</v>
      </c>
      <c r="L374" s="64">
        <f t="shared" si="42"/>
        <v>1.536470588235294</v>
      </c>
      <c r="M374" s="65">
        <f>prodnorm40</f>
        <v>0</v>
      </c>
      <c r="N374" s="66">
        <f>dagwerk40</f>
        <v>0</v>
      </c>
      <c r="O374" s="62" t="s">
        <v>45</v>
      </c>
      <c r="P374" s="67">
        <f>uurtarief40</f>
        <v>0</v>
      </c>
      <c r="Q374" s="64" t="e">
        <f t="shared" si="46"/>
        <v>#DIV/0!</v>
      </c>
      <c r="R374" s="64" t="e">
        <f t="shared" si="47"/>
        <v>#DIV/0!</v>
      </c>
      <c r="S374" s="67" t="e">
        <f t="shared" si="43"/>
        <v>#DIV/0!</v>
      </c>
      <c r="T374" s="64" t="e">
        <f t="shared" si="44"/>
        <v>#DIV/0!</v>
      </c>
      <c r="U374" s="68" t="e">
        <f t="shared" si="45"/>
        <v>#DIV/0!</v>
      </c>
    </row>
    <row r="375" spans="1:21" x14ac:dyDescent="0.2">
      <c r="A375" s="61" t="s">
        <v>244</v>
      </c>
      <c r="B375" s="62" t="s">
        <v>253</v>
      </c>
      <c r="C375" s="62" t="s">
        <v>821</v>
      </c>
      <c r="D375" s="62" t="s">
        <v>914</v>
      </c>
      <c r="E375" s="63" t="s">
        <v>915</v>
      </c>
      <c r="F375" s="62" t="s">
        <v>257</v>
      </c>
      <c r="G375" s="62" t="s">
        <v>191</v>
      </c>
      <c r="H375" s="62" t="s">
        <v>12</v>
      </c>
      <c r="I375" s="62" t="s">
        <v>157</v>
      </c>
      <c r="J375" s="62"/>
      <c r="K375" s="64">
        <v>52.7</v>
      </c>
      <c r="L375" s="64">
        <f t="shared" si="42"/>
        <v>47.533333333333339</v>
      </c>
      <c r="M375" s="65">
        <f>prodnorm70</f>
        <v>0</v>
      </c>
      <c r="N375" s="66">
        <f>dagwerk70</f>
        <v>0</v>
      </c>
      <c r="O375" s="62" t="s">
        <v>45</v>
      </c>
      <c r="P375" s="67">
        <f>uurtarief70</f>
        <v>0</v>
      </c>
      <c r="Q375" s="64" t="e">
        <f t="shared" si="46"/>
        <v>#DIV/0!</v>
      </c>
      <c r="R375" s="64" t="e">
        <f t="shared" si="47"/>
        <v>#DIV/0!</v>
      </c>
      <c r="S375" s="67" t="e">
        <f t="shared" si="43"/>
        <v>#DIV/0!</v>
      </c>
      <c r="T375" s="64" t="e">
        <f t="shared" si="44"/>
        <v>#DIV/0!</v>
      </c>
      <c r="U375" s="68" t="e">
        <f t="shared" si="45"/>
        <v>#DIV/0!</v>
      </c>
    </row>
    <row r="376" spans="1:21" ht="25.5" x14ac:dyDescent="0.2">
      <c r="A376" s="61" t="s">
        <v>244</v>
      </c>
      <c r="B376" s="62" t="s">
        <v>253</v>
      </c>
      <c r="C376" s="62" t="s">
        <v>821</v>
      </c>
      <c r="D376" s="62" t="s">
        <v>916</v>
      </c>
      <c r="E376" s="63" t="s">
        <v>917</v>
      </c>
      <c r="F376" s="62" t="s">
        <v>257</v>
      </c>
      <c r="G376" s="62" t="s">
        <v>205</v>
      </c>
      <c r="H376" s="62" t="s">
        <v>23</v>
      </c>
      <c r="I376" s="62" t="s">
        <v>157</v>
      </c>
      <c r="J376" s="62"/>
      <c r="K376" s="64">
        <v>15</v>
      </c>
      <c r="L376" s="64">
        <f t="shared" si="42"/>
        <v>2.7058823529411766</v>
      </c>
      <c r="M376" s="65">
        <f>prodnorm82</f>
        <v>0</v>
      </c>
      <c r="N376" s="66">
        <f>dagwerk82</f>
        <v>0</v>
      </c>
      <c r="O376" s="62" t="s">
        <v>45</v>
      </c>
      <c r="P376" s="67">
        <f>uurtarief82</f>
        <v>0</v>
      </c>
      <c r="Q376" s="64" t="e">
        <f t="shared" si="46"/>
        <v>#DIV/0!</v>
      </c>
      <c r="R376" s="64" t="e">
        <f t="shared" si="47"/>
        <v>#DIV/0!</v>
      </c>
      <c r="S376" s="67" t="e">
        <f t="shared" si="43"/>
        <v>#DIV/0!</v>
      </c>
      <c r="T376" s="64" t="e">
        <f t="shared" si="44"/>
        <v>#DIV/0!</v>
      </c>
      <c r="U376" s="68" t="e">
        <f t="shared" si="45"/>
        <v>#DIV/0!</v>
      </c>
    </row>
    <row r="377" spans="1:21" x14ac:dyDescent="0.2">
      <c r="A377" s="61" t="s">
        <v>244</v>
      </c>
      <c r="B377" s="62" t="s">
        <v>253</v>
      </c>
      <c r="C377" s="62" t="s">
        <v>821</v>
      </c>
      <c r="D377" s="62" t="s">
        <v>918</v>
      </c>
      <c r="E377" s="63" t="s">
        <v>919</v>
      </c>
      <c r="F377" s="62" t="s">
        <v>257</v>
      </c>
      <c r="G377" s="62" t="s">
        <v>207</v>
      </c>
      <c r="H377" s="62" t="s">
        <v>17</v>
      </c>
      <c r="I377" s="62" t="s">
        <v>157</v>
      </c>
      <c r="J377" s="62"/>
      <c r="K377" s="64">
        <v>20.5</v>
      </c>
      <c r="L377" s="64">
        <f t="shared" si="42"/>
        <v>9.2450980392156872</v>
      </c>
      <c r="M377" s="65">
        <f>prodnorm84</f>
        <v>0</v>
      </c>
      <c r="N377" s="66">
        <f>dagwerk84</f>
        <v>0</v>
      </c>
      <c r="O377" s="62" t="s">
        <v>45</v>
      </c>
      <c r="P377" s="67">
        <f>uurtarief84</f>
        <v>0</v>
      </c>
      <c r="Q377" s="64" t="e">
        <f t="shared" si="46"/>
        <v>#DIV/0!</v>
      </c>
      <c r="R377" s="64" t="e">
        <f t="shared" si="47"/>
        <v>#DIV/0!</v>
      </c>
      <c r="S377" s="67" t="e">
        <f t="shared" si="43"/>
        <v>#DIV/0!</v>
      </c>
      <c r="T377" s="64" t="e">
        <f t="shared" si="44"/>
        <v>#DIV/0!</v>
      </c>
      <c r="U377" s="68" t="e">
        <f t="shared" si="45"/>
        <v>#DIV/0!</v>
      </c>
    </row>
    <row r="378" spans="1:21" x14ac:dyDescent="0.2">
      <c r="A378" s="61" t="s">
        <v>244</v>
      </c>
      <c r="B378" s="62" t="s">
        <v>253</v>
      </c>
      <c r="C378" s="62" t="s">
        <v>821</v>
      </c>
      <c r="D378" s="62" t="s">
        <v>920</v>
      </c>
      <c r="E378" s="63" t="s">
        <v>921</v>
      </c>
      <c r="F378" s="62" t="s">
        <v>257</v>
      </c>
      <c r="G378" s="62" t="s">
        <v>191</v>
      </c>
      <c r="H378" s="62" t="s">
        <v>12</v>
      </c>
      <c r="I378" s="62" t="s">
        <v>157</v>
      </c>
      <c r="J378" s="62"/>
      <c r="K378" s="64">
        <v>48.3</v>
      </c>
      <c r="L378" s="64">
        <f t="shared" si="42"/>
        <v>43.564705882352939</v>
      </c>
      <c r="M378" s="65">
        <f>prodnorm70</f>
        <v>0</v>
      </c>
      <c r="N378" s="66">
        <f>dagwerk70</f>
        <v>0</v>
      </c>
      <c r="O378" s="62" t="s">
        <v>45</v>
      </c>
      <c r="P378" s="67">
        <f>uurtarief70</f>
        <v>0</v>
      </c>
      <c r="Q378" s="64" t="e">
        <f t="shared" si="46"/>
        <v>#DIV/0!</v>
      </c>
      <c r="R378" s="64" t="e">
        <f t="shared" si="47"/>
        <v>#DIV/0!</v>
      </c>
      <c r="S378" s="67" t="e">
        <f t="shared" si="43"/>
        <v>#DIV/0!</v>
      </c>
      <c r="T378" s="64" t="e">
        <f t="shared" si="44"/>
        <v>#DIV/0!</v>
      </c>
      <c r="U378" s="68" t="e">
        <f t="shared" si="45"/>
        <v>#DIV/0!</v>
      </c>
    </row>
    <row r="379" spans="1:21" x14ac:dyDescent="0.2">
      <c r="A379" s="61" t="s">
        <v>244</v>
      </c>
      <c r="B379" s="62" t="s">
        <v>253</v>
      </c>
      <c r="C379" s="62" t="s">
        <v>821</v>
      </c>
      <c r="D379" s="62" t="s">
        <v>922</v>
      </c>
      <c r="E379" s="63" t="s">
        <v>923</v>
      </c>
      <c r="F379" s="62" t="s">
        <v>257</v>
      </c>
      <c r="G379" s="62" t="s">
        <v>207</v>
      </c>
      <c r="H379" s="62" t="s">
        <v>17</v>
      </c>
      <c r="I379" s="62" t="s">
        <v>157</v>
      </c>
      <c r="J379" s="62"/>
      <c r="K379" s="64">
        <v>10.199999999999999</v>
      </c>
      <c r="L379" s="64">
        <f t="shared" si="42"/>
        <v>4.5999999999999996</v>
      </c>
      <c r="M379" s="65">
        <f>prodnorm84</f>
        <v>0</v>
      </c>
      <c r="N379" s="66">
        <f>dagwerk84</f>
        <v>0</v>
      </c>
      <c r="O379" s="62" t="s">
        <v>45</v>
      </c>
      <c r="P379" s="67">
        <f>uurtarief84</f>
        <v>0</v>
      </c>
      <c r="Q379" s="64" t="e">
        <f t="shared" si="46"/>
        <v>#DIV/0!</v>
      </c>
      <c r="R379" s="64" t="e">
        <f t="shared" si="47"/>
        <v>#DIV/0!</v>
      </c>
      <c r="S379" s="67" t="e">
        <f t="shared" si="43"/>
        <v>#DIV/0!</v>
      </c>
      <c r="T379" s="64" t="e">
        <f t="shared" si="44"/>
        <v>#DIV/0!</v>
      </c>
      <c r="U379" s="68" t="e">
        <f t="shared" si="45"/>
        <v>#DIV/0!</v>
      </c>
    </row>
    <row r="380" spans="1:21" x14ac:dyDescent="0.2">
      <c r="A380" s="61" t="s">
        <v>244</v>
      </c>
      <c r="B380" s="62" t="s">
        <v>253</v>
      </c>
      <c r="C380" s="62" t="s">
        <v>821</v>
      </c>
      <c r="D380" s="62" t="s">
        <v>924</v>
      </c>
      <c r="E380" s="63" t="s">
        <v>925</v>
      </c>
      <c r="F380" s="62" t="s">
        <v>257</v>
      </c>
      <c r="G380" s="62" t="s">
        <v>207</v>
      </c>
      <c r="H380" s="62" t="s">
        <v>22</v>
      </c>
      <c r="I380" s="62" t="s">
        <v>157</v>
      </c>
      <c r="J380" s="62"/>
      <c r="K380" s="64">
        <v>56.4</v>
      </c>
      <c r="L380" s="64">
        <f t="shared" si="42"/>
        <v>11.280000000000001</v>
      </c>
      <c r="M380" s="65">
        <f>prodnorm90</f>
        <v>0</v>
      </c>
      <c r="N380" s="66">
        <f>dagwerk90</f>
        <v>0</v>
      </c>
      <c r="O380" s="62" t="s">
        <v>45</v>
      </c>
      <c r="P380" s="67">
        <f>uurtarief90</f>
        <v>0</v>
      </c>
      <c r="Q380" s="64" t="e">
        <f t="shared" si="46"/>
        <v>#DIV/0!</v>
      </c>
      <c r="R380" s="64" t="e">
        <f t="shared" si="47"/>
        <v>#DIV/0!</v>
      </c>
      <c r="S380" s="67" t="e">
        <f t="shared" si="43"/>
        <v>#DIV/0!</v>
      </c>
      <c r="T380" s="64" t="e">
        <f t="shared" si="44"/>
        <v>#DIV/0!</v>
      </c>
      <c r="U380" s="68" t="e">
        <f t="shared" si="45"/>
        <v>#DIV/0!</v>
      </c>
    </row>
    <row r="381" spans="1:21" ht="25.5" x14ac:dyDescent="0.2">
      <c r="A381" s="61" t="s">
        <v>244</v>
      </c>
      <c r="B381" s="62" t="s">
        <v>253</v>
      </c>
      <c r="C381" s="62" t="s">
        <v>821</v>
      </c>
      <c r="D381" s="62" t="s">
        <v>926</v>
      </c>
      <c r="E381" s="63" t="s">
        <v>927</v>
      </c>
      <c r="F381" s="62" t="s">
        <v>257</v>
      </c>
      <c r="G381" s="62" t="s">
        <v>207</v>
      </c>
      <c r="H381" s="62" t="s">
        <v>23</v>
      </c>
      <c r="I381" s="62" t="s">
        <v>157</v>
      </c>
      <c r="J381" s="62"/>
      <c r="K381" s="64">
        <v>15.3</v>
      </c>
      <c r="L381" s="64">
        <f t="shared" si="42"/>
        <v>2.7600000000000002</v>
      </c>
      <c r="M381" s="65">
        <f>prodnorm89</f>
        <v>0</v>
      </c>
      <c r="N381" s="66">
        <f>dagwerk89</f>
        <v>0</v>
      </c>
      <c r="O381" s="62" t="s">
        <v>45</v>
      </c>
      <c r="P381" s="67">
        <f>uurtarief89</f>
        <v>0</v>
      </c>
      <c r="Q381" s="64" t="e">
        <f t="shared" si="46"/>
        <v>#DIV/0!</v>
      </c>
      <c r="R381" s="64" t="e">
        <f t="shared" si="47"/>
        <v>#DIV/0!</v>
      </c>
      <c r="S381" s="67" t="e">
        <f t="shared" si="43"/>
        <v>#DIV/0!</v>
      </c>
      <c r="T381" s="64" t="e">
        <f t="shared" si="44"/>
        <v>#DIV/0!</v>
      </c>
      <c r="U381" s="68" t="e">
        <f t="shared" si="45"/>
        <v>#DIV/0!</v>
      </c>
    </row>
    <row r="382" spans="1:21" ht="25.5" x14ac:dyDescent="0.2">
      <c r="A382" s="61" t="s">
        <v>244</v>
      </c>
      <c r="B382" s="62" t="s">
        <v>253</v>
      </c>
      <c r="C382" s="62" t="s">
        <v>821</v>
      </c>
      <c r="D382" s="62" t="s">
        <v>928</v>
      </c>
      <c r="E382" s="63" t="s">
        <v>927</v>
      </c>
      <c r="F382" s="62" t="s">
        <v>257</v>
      </c>
      <c r="G382" s="62" t="s">
        <v>207</v>
      </c>
      <c r="H382" s="62" t="s">
        <v>23</v>
      </c>
      <c r="I382" s="62" t="s">
        <v>157</v>
      </c>
      <c r="J382" s="62"/>
      <c r="K382" s="64">
        <v>8.9</v>
      </c>
      <c r="L382" s="64">
        <f t="shared" si="42"/>
        <v>1.6054901960784314</v>
      </c>
      <c r="M382" s="65">
        <f>prodnorm89</f>
        <v>0</v>
      </c>
      <c r="N382" s="66">
        <f>dagwerk89</f>
        <v>0</v>
      </c>
      <c r="O382" s="62" t="s">
        <v>45</v>
      </c>
      <c r="P382" s="67">
        <f>uurtarief89</f>
        <v>0</v>
      </c>
      <c r="Q382" s="64" t="e">
        <f t="shared" si="46"/>
        <v>#DIV/0!</v>
      </c>
      <c r="R382" s="64" t="e">
        <f t="shared" si="47"/>
        <v>#DIV/0!</v>
      </c>
      <c r="S382" s="67" t="e">
        <f t="shared" si="43"/>
        <v>#DIV/0!</v>
      </c>
      <c r="T382" s="64" t="e">
        <f t="shared" si="44"/>
        <v>#DIV/0!</v>
      </c>
      <c r="U382" s="68" t="e">
        <f t="shared" si="45"/>
        <v>#DIV/0!</v>
      </c>
    </row>
    <row r="383" spans="1:21" x14ac:dyDescent="0.2">
      <c r="A383" s="61" t="s">
        <v>244</v>
      </c>
      <c r="B383" s="62" t="s">
        <v>253</v>
      </c>
      <c r="C383" s="62" t="s">
        <v>821</v>
      </c>
      <c r="D383" s="62" t="s">
        <v>929</v>
      </c>
      <c r="E383" s="63" t="s">
        <v>930</v>
      </c>
      <c r="F383" s="62" t="s">
        <v>286</v>
      </c>
      <c r="G383" s="62" t="s">
        <v>207</v>
      </c>
      <c r="H383" s="62" t="s">
        <v>23</v>
      </c>
      <c r="I383" s="62" t="s">
        <v>157</v>
      </c>
      <c r="J383" s="62"/>
      <c r="K383" s="64">
        <v>5.2</v>
      </c>
      <c r="L383" s="64">
        <f t="shared" si="42"/>
        <v>0.93803921568627457</v>
      </c>
      <c r="M383" s="65">
        <f>prodnorm89</f>
        <v>0</v>
      </c>
      <c r="N383" s="66">
        <f>dagwerk89</f>
        <v>0</v>
      </c>
      <c r="O383" s="62" t="s">
        <v>45</v>
      </c>
      <c r="P383" s="67">
        <f>uurtarief89</f>
        <v>0</v>
      </c>
      <c r="Q383" s="64" t="e">
        <f t="shared" si="46"/>
        <v>#DIV/0!</v>
      </c>
      <c r="R383" s="64" t="e">
        <f t="shared" si="47"/>
        <v>#DIV/0!</v>
      </c>
      <c r="S383" s="67" t="e">
        <f t="shared" si="43"/>
        <v>#DIV/0!</v>
      </c>
      <c r="T383" s="64" t="e">
        <f t="shared" si="44"/>
        <v>#DIV/0!</v>
      </c>
      <c r="U383" s="68" t="e">
        <f t="shared" si="45"/>
        <v>#DIV/0!</v>
      </c>
    </row>
    <row r="384" spans="1:21" x14ac:dyDescent="0.2">
      <c r="A384" s="61" t="s">
        <v>244</v>
      </c>
      <c r="B384" s="62" t="s">
        <v>253</v>
      </c>
      <c r="C384" s="62" t="s">
        <v>821</v>
      </c>
      <c r="D384" s="62" t="s">
        <v>931</v>
      </c>
      <c r="E384" s="63" t="s">
        <v>932</v>
      </c>
      <c r="F384" s="62" t="s">
        <v>257</v>
      </c>
      <c r="G384" s="62" t="s">
        <v>161</v>
      </c>
      <c r="H384" s="62" t="s">
        <v>23</v>
      </c>
      <c r="I384" s="62" t="s">
        <v>157</v>
      </c>
      <c r="J384" s="62"/>
      <c r="K384" s="64">
        <v>15.3</v>
      </c>
      <c r="L384" s="64">
        <f t="shared" si="42"/>
        <v>2.7600000000000002</v>
      </c>
      <c r="M384" s="65">
        <f>prodnorm46</f>
        <v>0</v>
      </c>
      <c r="N384" s="66">
        <f>dagwerk46</f>
        <v>0</v>
      </c>
      <c r="O384" s="62" t="s">
        <v>45</v>
      </c>
      <c r="P384" s="67">
        <f>uurtarief46</f>
        <v>0</v>
      </c>
      <c r="Q384" s="64" t="e">
        <f t="shared" si="46"/>
        <v>#DIV/0!</v>
      </c>
      <c r="R384" s="64" t="e">
        <f t="shared" si="47"/>
        <v>#DIV/0!</v>
      </c>
      <c r="S384" s="67" t="e">
        <f t="shared" si="43"/>
        <v>#DIV/0!</v>
      </c>
      <c r="T384" s="64" t="e">
        <f t="shared" si="44"/>
        <v>#DIV/0!</v>
      </c>
      <c r="U384" s="68" t="e">
        <f t="shared" si="45"/>
        <v>#DIV/0!</v>
      </c>
    </row>
    <row r="385" spans="1:21" x14ac:dyDescent="0.2">
      <c r="A385" s="61" t="s">
        <v>244</v>
      </c>
      <c r="B385" s="62" t="s">
        <v>253</v>
      </c>
      <c r="C385" s="62" t="s">
        <v>821</v>
      </c>
      <c r="D385" s="62" t="s">
        <v>933</v>
      </c>
      <c r="E385" s="63" t="s">
        <v>934</v>
      </c>
      <c r="F385" s="62" t="s">
        <v>257</v>
      </c>
      <c r="G385" s="62" t="s">
        <v>207</v>
      </c>
      <c r="H385" s="62" t="s">
        <v>17</v>
      </c>
      <c r="I385" s="62" t="s">
        <v>157</v>
      </c>
      <c r="J385" s="62"/>
      <c r="K385" s="64">
        <v>49.6</v>
      </c>
      <c r="L385" s="64">
        <f t="shared" si="42"/>
        <v>22.368627450980394</v>
      </c>
      <c r="M385" s="65">
        <f>prodnorm84</f>
        <v>0</v>
      </c>
      <c r="N385" s="66">
        <f>dagwerk84</f>
        <v>0</v>
      </c>
      <c r="O385" s="62" t="s">
        <v>45</v>
      </c>
      <c r="P385" s="67">
        <f>uurtarief84</f>
        <v>0</v>
      </c>
      <c r="Q385" s="64" t="e">
        <f t="shared" si="46"/>
        <v>#DIV/0!</v>
      </c>
      <c r="R385" s="64" t="e">
        <f t="shared" si="47"/>
        <v>#DIV/0!</v>
      </c>
      <c r="S385" s="67" t="e">
        <f t="shared" si="43"/>
        <v>#DIV/0!</v>
      </c>
      <c r="T385" s="64" t="e">
        <f t="shared" si="44"/>
        <v>#DIV/0!</v>
      </c>
      <c r="U385" s="68" t="e">
        <f t="shared" si="45"/>
        <v>#DIV/0!</v>
      </c>
    </row>
    <row r="386" spans="1:21" x14ac:dyDescent="0.2">
      <c r="A386" s="61" t="s">
        <v>244</v>
      </c>
      <c r="B386" s="62" t="s">
        <v>253</v>
      </c>
      <c r="C386" s="62" t="s">
        <v>821</v>
      </c>
      <c r="D386" s="62" t="s">
        <v>935</v>
      </c>
      <c r="E386" s="63" t="s">
        <v>360</v>
      </c>
      <c r="F386" s="62" t="s">
        <v>257</v>
      </c>
      <c r="G386" s="62" t="s">
        <v>207</v>
      </c>
      <c r="H386" s="62" t="s">
        <v>17</v>
      </c>
      <c r="I386" s="62" t="s">
        <v>157</v>
      </c>
      <c r="J386" s="62"/>
      <c r="K386" s="64">
        <v>95.7</v>
      </c>
      <c r="L386" s="64">
        <f t="shared" si="42"/>
        <v>43.158823529411769</v>
      </c>
      <c r="M386" s="65">
        <f>prodnorm84</f>
        <v>0</v>
      </c>
      <c r="N386" s="66">
        <f>dagwerk84</f>
        <v>0</v>
      </c>
      <c r="O386" s="62" t="s">
        <v>45</v>
      </c>
      <c r="P386" s="67">
        <f>uurtarief84</f>
        <v>0</v>
      </c>
      <c r="Q386" s="64" t="e">
        <f t="shared" si="46"/>
        <v>#DIV/0!</v>
      </c>
      <c r="R386" s="64" t="e">
        <f t="shared" si="47"/>
        <v>#DIV/0!</v>
      </c>
      <c r="S386" s="67" t="e">
        <f t="shared" si="43"/>
        <v>#DIV/0!</v>
      </c>
      <c r="T386" s="64" t="e">
        <f t="shared" si="44"/>
        <v>#DIV/0!</v>
      </c>
      <c r="U386" s="68" t="e">
        <f t="shared" si="45"/>
        <v>#DIV/0!</v>
      </c>
    </row>
    <row r="387" spans="1:21" ht="25.5" x14ac:dyDescent="0.2">
      <c r="A387" s="61" t="s">
        <v>244</v>
      </c>
      <c r="B387" s="62" t="s">
        <v>253</v>
      </c>
      <c r="C387" s="62" t="s">
        <v>821</v>
      </c>
      <c r="D387" s="62" t="s">
        <v>936</v>
      </c>
      <c r="E387" s="63" t="s">
        <v>937</v>
      </c>
      <c r="F387" s="62" t="s">
        <v>257</v>
      </c>
      <c r="G387" s="62" t="s">
        <v>205</v>
      </c>
      <c r="H387" s="62" t="s">
        <v>23</v>
      </c>
      <c r="I387" s="62" t="s">
        <v>157</v>
      </c>
      <c r="J387" s="62"/>
      <c r="K387" s="64">
        <v>18.8</v>
      </c>
      <c r="L387" s="64">
        <f t="shared" si="42"/>
        <v>3.3913725490196081</v>
      </c>
      <c r="M387" s="65">
        <f>prodnorm82</f>
        <v>0</v>
      </c>
      <c r="N387" s="66">
        <f>dagwerk82</f>
        <v>0</v>
      </c>
      <c r="O387" s="62" t="s">
        <v>45</v>
      </c>
      <c r="P387" s="67">
        <f>uurtarief82</f>
        <v>0</v>
      </c>
      <c r="Q387" s="64" t="e">
        <f t="shared" si="46"/>
        <v>#DIV/0!</v>
      </c>
      <c r="R387" s="64" t="e">
        <f t="shared" si="47"/>
        <v>#DIV/0!</v>
      </c>
      <c r="S387" s="67" t="e">
        <f t="shared" si="43"/>
        <v>#DIV/0!</v>
      </c>
      <c r="T387" s="64" t="e">
        <f t="shared" si="44"/>
        <v>#DIV/0!</v>
      </c>
      <c r="U387" s="68" t="e">
        <f t="shared" si="45"/>
        <v>#DIV/0!</v>
      </c>
    </row>
    <row r="388" spans="1:21" x14ac:dyDescent="0.2">
      <c r="A388" s="61" t="s">
        <v>244</v>
      </c>
      <c r="B388" s="62" t="s">
        <v>938</v>
      </c>
      <c r="C388" s="62" t="s">
        <v>403</v>
      </c>
      <c r="D388" s="62" t="s">
        <v>939</v>
      </c>
      <c r="E388" s="63" t="s">
        <v>940</v>
      </c>
      <c r="F388" s="62" t="s">
        <v>249</v>
      </c>
      <c r="G388" s="62" t="s">
        <v>213</v>
      </c>
      <c r="H388" s="62" t="s">
        <v>12</v>
      </c>
      <c r="I388" s="62" t="s">
        <v>157</v>
      </c>
      <c r="J388" s="62"/>
      <c r="K388" s="64">
        <v>35.58</v>
      </c>
      <c r="L388" s="64">
        <f t="shared" si="42"/>
        <v>32.091764705882355</v>
      </c>
      <c r="M388" s="65">
        <f>prodnorm95</f>
        <v>0</v>
      </c>
      <c r="N388" s="66">
        <f>dagwerk95</f>
        <v>0</v>
      </c>
      <c r="O388" s="62" t="s">
        <v>45</v>
      </c>
      <c r="P388" s="67">
        <f>uurtarief95</f>
        <v>0</v>
      </c>
      <c r="Q388" s="64" t="e">
        <f t="shared" si="46"/>
        <v>#DIV/0!</v>
      </c>
      <c r="R388" s="64" t="e">
        <f t="shared" si="47"/>
        <v>#DIV/0!</v>
      </c>
      <c r="S388" s="67" t="e">
        <f t="shared" si="43"/>
        <v>#DIV/0!</v>
      </c>
      <c r="T388" s="64" t="e">
        <f t="shared" si="44"/>
        <v>#DIV/0!</v>
      </c>
      <c r="U388" s="68" t="e">
        <f t="shared" si="45"/>
        <v>#DIV/0!</v>
      </c>
    </row>
    <row r="389" spans="1:21" x14ac:dyDescent="0.2">
      <c r="A389" s="61" t="s">
        <v>244</v>
      </c>
      <c r="B389" s="62" t="s">
        <v>938</v>
      </c>
      <c r="C389" s="62" t="s">
        <v>403</v>
      </c>
      <c r="D389" s="62" t="s">
        <v>941</v>
      </c>
      <c r="E389" s="63" t="s">
        <v>942</v>
      </c>
      <c r="F389" s="62" t="s">
        <v>249</v>
      </c>
      <c r="G389" s="62" t="s">
        <v>207</v>
      </c>
      <c r="H389" s="62" t="s">
        <v>17</v>
      </c>
      <c r="I389" s="62" t="s">
        <v>157</v>
      </c>
      <c r="J389" s="62"/>
      <c r="K389" s="64">
        <v>163</v>
      </c>
      <c r="L389" s="64">
        <f t="shared" ref="L389:L452" si="48">K389*VLOOKUP(H389,dagsoorttabel1,2,FALSE)</f>
        <v>73.509803921568633</v>
      </c>
      <c r="M389" s="65">
        <f>prodnorm84</f>
        <v>0</v>
      </c>
      <c r="N389" s="66">
        <f>dagwerk84</f>
        <v>0</v>
      </c>
      <c r="O389" s="62" t="s">
        <v>45</v>
      </c>
      <c r="P389" s="67">
        <f>uurtarief84</f>
        <v>0</v>
      </c>
      <c r="Q389" s="64" t="e">
        <f t="shared" si="46"/>
        <v>#DIV/0!</v>
      </c>
      <c r="R389" s="64" t="e">
        <f t="shared" si="47"/>
        <v>#DIV/0!</v>
      </c>
      <c r="S389" s="67" t="e">
        <f t="shared" ref="S389:S416" si="49">ROUND(P389,2)*Q389</f>
        <v>#DIV/0!</v>
      </c>
      <c r="T389" s="64" t="e">
        <f t="shared" ref="T389:T416" si="50">Q389*dagenperjaar1</f>
        <v>#DIV/0!</v>
      </c>
      <c r="U389" s="68" t="e">
        <f t="shared" ref="U389:U452" si="51">T389*ROUND(P389,2)</f>
        <v>#DIV/0!</v>
      </c>
    </row>
    <row r="390" spans="1:21" x14ac:dyDescent="0.2">
      <c r="A390" s="61" t="s">
        <v>244</v>
      </c>
      <c r="B390" s="62" t="s">
        <v>938</v>
      </c>
      <c r="C390" s="62" t="s">
        <v>403</v>
      </c>
      <c r="D390" s="62" t="s">
        <v>943</v>
      </c>
      <c r="E390" s="63" t="s">
        <v>942</v>
      </c>
      <c r="F390" s="62" t="s">
        <v>374</v>
      </c>
      <c r="G390" s="62" t="s">
        <v>207</v>
      </c>
      <c r="H390" s="62" t="s">
        <v>17</v>
      </c>
      <c r="I390" s="62" t="s">
        <v>157</v>
      </c>
      <c r="J390" s="62"/>
      <c r="K390" s="64">
        <v>150</v>
      </c>
      <c r="L390" s="64">
        <f t="shared" si="48"/>
        <v>67.647058823529406</v>
      </c>
      <c r="M390" s="65">
        <f>prodnorm84</f>
        <v>0</v>
      </c>
      <c r="N390" s="66">
        <f>dagwerk84</f>
        <v>0</v>
      </c>
      <c r="O390" s="62" t="s">
        <v>45</v>
      </c>
      <c r="P390" s="67">
        <f>uurtarief84</f>
        <v>0</v>
      </c>
      <c r="Q390" s="64" t="e">
        <f t="shared" si="46"/>
        <v>#DIV/0!</v>
      </c>
      <c r="R390" s="64" t="e">
        <f t="shared" si="47"/>
        <v>#DIV/0!</v>
      </c>
      <c r="S390" s="67" t="e">
        <f t="shared" si="49"/>
        <v>#DIV/0!</v>
      </c>
      <c r="T390" s="64" t="e">
        <f t="shared" si="50"/>
        <v>#DIV/0!</v>
      </c>
      <c r="U390" s="68" t="e">
        <f t="shared" si="51"/>
        <v>#DIV/0!</v>
      </c>
    </row>
    <row r="391" spans="1:21" x14ac:dyDescent="0.2">
      <c r="A391" s="61" t="s">
        <v>244</v>
      </c>
      <c r="B391" s="62" t="s">
        <v>938</v>
      </c>
      <c r="C391" s="62" t="s">
        <v>403</v>
      </c>
      <c r="D391" s="62" t="s">
        <v>944</v>
      </c>
      <c r="E391" s="63" t="s">
        <v>942</v>
      </c>
      <c r="F391" s="62" t="s">
        <v>387</v>
      </c>
      <c r="G391" s="62" t="s">
        <v>207</v>
      </c>
      <c r="H391" s="62" t="s">
        <v>17</v>
      </c>
      <c r="I391" s="62" t="s">
        <v>157</v>
      </c>
      <c r="J391" s="62"/>
      <c r="K391" s="64">
        <v>150</v>
      </c>
      <c r="L391" s="64">
        <f t="shared" si="48"/>
        <v>67.647058823529406</v>
      </c>
      <c r="M391" s="65">
        <f>prodnorm84</f>
        <v>0</v>
      </c>
      <c r="N391" s="66">
        <f>dagwerk84</f>
        <v>0</v>
      </c>
      <c r="O391" s="62" t="s">
        <v>45</v>
      </c>
      <c r="P391" s="67">
        <f>uurtarief84</f>
        <v>0</v>
      </c>
      <c r="Q391" s="64" t="e">
        <f t="shared" si="46"/>
        <v>#DIV/0!</v>
      </c>
      <c r="R391" s="64" t="e">
        <f t="shared" si="47"/>
        <v>#DIV/0!</v>
      </c>
      <c r="S391" s="67" t="e">
        <f t="shared" si="49"/>
        <v>#DIV/0!</v>
      </c>
      <c r="T391" s="64" t="e">
        <f t="shared" si="50"/>
        <v>#DIV/0!</v>
      </c>
      <c r="U391" s="68" t="e">
        <f t="shared" si="51"/>
        <v>#DIV/0!</v>
      </c>
    </row>
    <row r="392" spans="1:21" x14ac:dyDescent="0.2">
      <c r="A392" s="61" t="s">
        <v>244</v>
      </c>
      <c r="B392" s="62" t="s">
        <v>938</v>
      </c>
      <c r="C392" s="62" t="s">
        <v>403</v>
      </c>
      <c r="D392" s="62" t="s">
        <v>945</v>
      </c>
      <c r="E392" s="63" t="s">
        <v>946</v>
      </c>
      <c r="F392" s="62" t="s">
        <v>249</v>
      </c>
      <c r="G392" s="62" t="s">
        <v>229</v>
      </c>
      <c r="H392" s="62" t="s">
        <v>32</v>
      </c>
      <c r="I392" s="62" t="s">
        <v>216</v>
      </c>
      <c r="J392" s="62"/>
      <c r="K392" s="64">
        <v>1</v>
      </c>
      <c r="L392" s="64">
        <f t="shared" si="48"/>
        <v>3.9215686274509803E-3</v>
      </c>
      <c r="M392" s="65">
        <f>prodnorm37</f>
        <v>0</v>
      </c>
      <c r="N392" s="66">
        <f>dagwerk37</f>
        <v>0</v>
      </c>
      <c r="O392" s="62" t="s">
        <v>218</v>
      </c>
      <c r="P392" s="67">
        <f>uurtarief37</f>
        <v>0</v>
      </c>
      <c r="Q392" s="64">
        <f>L392*ROUND(M392,4)/60</f>
        <v>0</v>
      </c>
      <c r="R392" s="64">
        <f t="shared" si="47"/>
        <v>0</v>
      </c>
      <c r="S392" s="67">
        <f t="shared" si="49"/>
        <v>0</v>
      </c>
      <c r="T392" s="64">
        <f t="shared" si="50"/>
        <v>0</v>
      </c>
      <c r="U392" s="68">
        <f t="shared" si="51"/>
        <v>0</v>
      </c>
    </row>
    <row r="393" spans="1:21" x14ac:dyDescent="0.2">
      <c r="A393" s="61" t="s">
        <v>244</v>
      </c>
      <c r="B393" s="62" t="s">
        <v>938</v>
      </c>
      <c r="C393" s="62" t="s">
        <v>403</v>
      </c>
      <c r="D393" s="62" t="s">
        <v>945</v>
      </c>
      <c r="E393" s="63" t="s">
        <v>946</v>
      </c>
      <c r="F393" s="62" t="s">
        <v>249</v>
      </c>
      <c r="G393" s="62" t="s">
        <v>207</v>
      </c>
      <c r="H393" s="62" t="s">
        <v>17</v>
      </c>
      <c r="I393" s="62" t="s">
        <v>157</v>
      </c>
      <c r="J393" s="62"/>
      <c r="K393" s="64">
        <v>50</v>
      </c>
      <c r="L393" s="64">
        <f t="shared" si="48"/>
        <v>22.549019607843139</v>
      </c>
      <c r="M393" s="65">
        <f>prodnorm84</f>
        <v>0</v>
      </c>
      <c r="N393" s="66">
        <f>dagwerk84</f>
        <v>0</v>
      </c>
      <c r="O393" s="62" t="s">
        <v>45</v>
      </c>
      <c r="P393" s="67">
        <f>uurtarief84</f>
        <v>0</v>
      </c>
      <c r="Q393" s="64" t="e">
        <f>IF(ISBLANK(M393),0,L393/ROUND(M393,4))</f>
        <v>#DIV/0!</v>
      </c>
      <c r="R393" s="64" t="e">
        <f t="shared" si="47"/>
        <v>#DIV/0!</v>
      </c>
      <c r="S393" s="67" t="e">
        <f t="shared" si="49"/>
        <v>#DIV/0!</v>
      </c>
      <c r="T393" s="64" t="e">
        <f t="shared" si="50"/>
        <v>#DIV/0!</v>
      </c>
      <c r="U393" s="68" t="e">
        <f t="shared" si="51"/>
        <v>#DIV/0!</v>
      </c>
    </row>
    <row r="394" spans="1:21" x14ac:dyDescent="0.2">
      <c r="A394" s="61" t="s">
        <v>244</v>
      </c>
      <c r="B394" s="62" t="s">
        <v>938</v>
      </c>
      <c r="C394" s="62" t="s">
        <v>403</v>
      </c>
      <c r="D394" s="62" t="s">
        <v>947</v>
      </c>
      <c r="E394" s="63" t="s">
        <v>948</v>
      </c>
      <c r="F394" s="62" t="s">
        <v>249</v>
      </c>
      <c r="G394" s="62" t="s">
        <v>207</v>
      </c>
      <c r="H394" s="62" t="s">
        <v>17</v>
      </c>
      <c r="I394" s="62" t="s">
        <v>157</v>
      </c>
      <c r="J394" s="62"/>
      <c r="K394" s="64">
        <v>17.3</v>
      </c>
      <c r="L394" s="64">
        <f t="shared" si="48"/>
        <v>7.8019607843137262</v>
      </c>
      <c r="M394" s="65">
        <f>prodnorm84</f>
        <v>0</v>
      </c>
      <c r="N394" s="66">
        <f>dagwerk84</f>
        <v>0</v>
      </c>
      <c r="O394" s="62" t="s">
        <v>45</v>
      </c>
      <c r="P394" s="67">
        <f>uurtarief84</f>
        <v>0</v>
      </c>
      <c r="Q394" s="64" t="e">
        <f>IF(ISBLANK(M394),0,L394/ROUND(M394,4))</f>
        <v>#DIV/0!</v>
      </c>
      <c r="R394" s="64" t="e">
        <f t="shared" si="47"/>
        <v>#DIV/0!</v>
      </c>
      <c r="S394" s="67" t="e">
        <f t="shared" si="49"/>
        <v>#DIV/0!</v>
      </c>
      <c r="T394" s="64" t="e">
        <f t="shared" si="50"/>
        <v>#DIV/0!</v>
      </c>
      <c r="U394" s="68" t="e">
        <f t="shared" si="51"/>
        <v>#DIV/0!</v>
      </c>
    </row>
    <row r="395" spans="1:21" x14ac:dyDescent="0.2">
      <c r="A395" s="61" t="s">
        <v>244</v>
      </c>
      <c r="B395" s="62" t="s">
        <v>938</v>
      </c>
      <c r="C395" s="62" t="s">
        <v>403</v>
      </c>
      <c r="D395" s="62" t="s">
        <v>949</v>
      </c>
      <c r="E395" s="63" t="s">
        <v>950</v>
      </c>
      <c r="F395" s="62" t="s">
        <v>594</v>
      </c>
      <c r="G395" s="62" t="s">
        <v>193</v>
      </c>
      <c r="H395" s="62" t="s">
        <v>12</v>
      </c>
      <c r="I395" s="62" t="s">
        <v>157</v>
      </c>
      <c r="J395" s="62"/>
      <c r="K395" s="64">
        <v>19</v>
      </c>
      <c r="L395" s="64">
        <f t="shared" si="48"/>
        <v>17.137254901960784</v>
      </c>
      <c r="M395" s="65">
        <f>prodnorm72</f>
        <v>0</v>
      </c>
      <c r="N395" s="66">
        <f>dagwerk72</f>
        <v>0</v>
      </c>
      <c r="O395" s="62" t="s">
        <v>45</v>
      </c>
      <c r="P395" s="67">
        <f>uurtarief72</f>
        <v>0</v>
      </c>
      <c r="Q395" s="64" t="e">
        <f>IF(ISBLANK(M395),0,L395/ROUND(M395,4))</f>
        <v>#DIV/0!</v>
      </c>
      <c r="R395" s="64" t="e">
        <f t="shared" ref="R395:R458" si="52">IF(ISBLANK(M395),0,Q395*ROUND(N395,2))</f>
        <v>#DIV/0!</v>
      </c>
      <c r="S395" s="67" t="e">
        <f t="shared" si="49"/>
        <v>#DIV/0!</v>
      </c>
      <c r="T395" s="64" t="e">
        <f t="shared" si="50"/>
        <v>#DIV/0!</v>
      </c>
      <c r="U395" s="68" t="e">
        <f t="shared" si="51"/>
        <v>#DIV/0!</v>
      </c>
    </row>
    <row r="396" spans="1:21" x14ac:dyDescent="0.2">
      <c r="A396" s="61" t="s">
        <v>244</v>
      </c>
      <c r="B396" s="62" t="s">
        <v>938</v>
      </c>
      <c r="C396" s="62" t="s">
        <v>403</v>
      </c>
      <c r="D396" s="62" t="s">
        <v>951</v>
      </c>
      <c r="E396" s="63" t="s">
        <v>952</v>
      </c>
      <c r="F396" s="62" t="s">
        <v>387</v>
      </c>
      <c r="G396" s="62" t="s">
        <v>189</v>
      </c>
      <c r="H396" s="62" t="s">
        <v>11</v>
      </c>
      <c r="I396" s="62" t="s">
        <v>157</v>
      </c>
      <c r="J396" s="62"/>
      <c r="K396" s="64">
        <v>14.4</v>
      </c>
      <c r="L396" s="64">
        <f t="shared" si="48"/>
        <v>14.4</v>
      </c>
      <c r="M396" s="65">
        <f>prodnorm69</f>
        <v>0</v>
      </c>
      <c r="N396" s="66">
        <f>dagwerk69</f>
        <v>0</v>
      </c>
      <c r="O396" s="62" t="s">
        <v>45</v>
      </c>
      <c r="P396" s="67">
        <f>uurtarief69</f>
        <v>0</v>
      </c>
      <c r="Q396" s="64" t="e">
        <f>IF(ISBLANK(M396),0,L396/ROUND(M396,4))</f>
        <v>#DIV/0!</v>
      </c>
      <c r="R396" s="64" t="e">
        <f t="shared" si="52"/>
        <v>#DIV/0!</v>
      </c>
      <c r="S396" s="67" t="e">
        <f t="shared" si="49"/>
        <v>#DIV/0!</v>
      </c>
      <c r="T396" s="64" t="e">
        <f t="shared" si="50"/>
        <v>#DIV/0!</v>
      </c>
      <c r="U396" s="68" t="e">
        <f t="shared" si="51"/>
        <v>#DIV/0!</v>
      </c>
    </row>
    <row r="397" spans="1:21" x14ac:dyDescent="0.2">
      <c r="A397" s="61" t="s">
        <v>244</v>
      </c>
      <c r="B397" s="62" t="s">
        <v>938</v>
      </c>
      <c r="C397" s="62" t="s">
        <v>403</v>
      </c>
      <c r="D397" s="62" t="s">
        <v>953</v>
      </c>
      <c r="E397" s="63" t="s">
        <v>471</v>
      </c>
      <c r="F397" s="62" t="s">
        <v>286</v>
      </c>
      <c r="G397" s="62" t="s">
        <v>207</v>
      </c>
      <c r="H397" s="62" t="s">
        <v>17</v>
      </c>
      <c r="I397" s="62" t="s">
        <v>157</v>
      </c>
      <c r="J397" s="62"/>
      <c r="K397" s="64">
        <v>8.6</v>
      </c>
      <c r="L397" s="64">
        <f t="shared" si="48"/>
        <v>3.8784313725490196</v>
      </c>
      <c r="M397" s="65">
        <f>prodnorm84</f>
        <v>0</v>
      </c>
      <c r="N397" s="66">
        <f>dagwerk84</f>
        <v>0</v>
      </c>
      <c r="O397" s="62" t="s">
        <v>45</v>
      </c>
      <c r="P397" s="67">
        <f>uurtarief84</f>
        <v>0</v>
      </c>
      <c r="Q397" s="64" t="e">
        <f>IF(ISBLANK(M397),0,L397/ROUND(M397,4))</f>
        <v>#DIV/0!</v>
      </c>
      <c r="R397" s="64" t="e">
        <f t="shared" si="52"/>
        <v>#DIV/0!</v>
      </c>
      <c r="S397" s="67" t="e">
        <f t="shared" si="49"/>
        <v>#DIV/0!</v>
      </c>
      <c r="T397" s="64" t="e">
        <f t="shared" si="50"/>
        <v>#DIV/0!</v>
      </c>
      <c r="U397" s="68" t="e">
        <f t="shared" si="51"/>
        <v>#DIV/0!</v>
      </c>
    </row>
    <row r="398" spans="1:21" x14ac:dyDescent="0.2">
      <c r="A398" s="61" t="s">
        <v>244</v>
      </c>
      <c r="B398" s="62" t="s">
        <v>954</v>
      </c>
      <c r="C398" s="62" t="s">
        <v>403</v>
      </c>
      <c r="D398" s="62" t="s">
        <v>955</v>
      </c>
      <c r="E398" s="63" t="s">
        <v>956</v>
      </c>
      <c r="F398" s="62" t="s">
        <v>387</v>
      </c>
      <c r="G398" s="62" t="s">
        <v>226</v>
      </c>
      <c r="H398" s="62" t="s">
        <v>23</v>
      </c>
      <c r="I398" s="62" t="s">
        <v>216</v>
      </c>
      <c r="J398" s="62"/>
      <c r="K398" s="64">
        <v>0</v>
      </c>
      <c r="L398" s="64">
        <f t="shared" si="48"/>
        <v>0</v>
      </c>
      <c r="M398" s="65"/>
      <c r="N398" s="66"/>
      <c r="O398" s="62" t="s">
        <v>228</v>
      </c>
      <c r="P398" s="67"/>
      <c r="Q398" s="64">
        <f t="shared" ref="Q398:Q403" si="53">L398</f>
        <v>0</v>
      </c>
      <c r="R398" s="64">
        <f t="shared" ref="R398:R403" si="54">Q398*ROUND(N398,2)</f>
        <v>0</v>
      </c>
      <c r="S398" s="67">
        <f t="shared" si="49"/>
        <v>0</v>
      </c>
      <c r="T398" s="64">
        <f t="shared" si="50"/>
        <v>0</v>
      </c>
      <c r="U398" s="68">
        <f t="shared" si="51"/>
        <v>0</v>
      </c>
    </row>
    <row r="399" spans="1:21" ht="25.5" x14ac:dyDescent="0.2">
      <c r="A399" s="61" t="s">
        <v>244</v>
      </c>
      <c r="B399" s="62" t="s">
        <v>954</v>
      </c>
      <c r="C399" s="62" t="s">
        <v>403</v>
      </c>
      <c r="D399" s="62" t="s">
        <v>955</v>
      </c>
      <c r="E399" s="63" t="s">
        <v>957</v>
      </c>
      <c r="F399" s="62" t="s">
        <v>387</v>
      </c>
      <c r="G399" s="62" t="s">
        <v>226</v>
      </c>
      <c r="H399" s="62" t="s">
        <v>23</v>
      </c>
      <c r="I399" s="62" t="s">
        <v>216</v>
      </c>
      <c r="J399" s="62"/>
      <c r="K399" s="64">
        <v>0</v>
      </c>
      <c r="L399" s="64">
        <f t="shared" si="48"/>
        <v>0</v>
      </c>
      <c r="M399" s="65"/>
      <c r="N399" s="66"/>
      <c r="O399" s="62" t="s">
        <v>228</v>
      </c>
      <c r="P399" s="67"/>
      <c r="Q399" s="64">
        <f t="shared" si="53"/>
        <v>0</v>
      </c>
      <c r="R399" s="64">
        <f t="shared" si="54"/>
        <v>0</v>
      </c>
      <c r="S399" s="67">
        <f t="shared" si="49"/>
        <v>0</v>
      </c>
      <c r="T399" s="64">
        <f t="shared" si="50"/>
        <v>0</v>
      </c>
      <c r="U399" s="68">
        <f t="shared" si="51"/>
        <v>0</v>
      </c>
    </row>
    <row r="400" spans="1:21" ht="25.5" x14ac:dyDescent="0.2">
      <c r="A400" s="61" t="s">
        <v>244</v>
      </c>
      <c r="B400" s="62" t="s">
        <v>954</v>
      </c>
      <c r="C400" s="62" t="s">
        <v>490</v>
      </c>
      <c r="D400" s="62" t="s">
        <v>958</v>
      </c>
      <c r="E400" s="63" t="s">
        <v>959</v>
      </c>
      <c r="F400" s="62" t="s">
        <v>387</v>
      </c>
      <c r="G400" s="62" t="s">
        <v>226</v>
      </c>
      <c r="H400" s="62" t="s">
        <v>23</v>
      </c>
      <c r="I400" s="62" t="s">
        <v>216</v>
      </c>
      <c r="J400" s="62"/>
      <c r="K400" s="64">
        <v>0</v>
      </c>
      <c r="L400" s="64">
        <f t="shared" si="48"/>
        <v>0</v>
      </c>
      <c r="M400" s="65"/>
      <c r="N400" s="66"/>
      <c r="O400" s="62" t="s">
        <v>228</v>
      </c>
      <c r="P400" s="67"/>
      <c r="Q400" s="64">
        <f t="shared" si="53"/>
        <v>0</v>
      </c>
      <c r="R400" s="64">
        <f t="shared" si="54"/>
        <v>0</v>
      </c>
      <c r="S400" s="67">
        <f t="shared" si="49"/>
        <v>0</v>
      </c>
      <c r="T400" s="64">
        <f t="shared" si="50"/>
        <v>0</v>
      </c>
      <c r="U400" s="68">
        <f t="shared" si="51"/>
        <v>0</v>
      </c>
    </row>
    <row r="401" spans="1:21" x14ac:dyDescent="0.2">
      <c r="A401" s="61" t="s">
        <v>244</v>
      </c>
      <c r="B401" s="62" t="s">
        <v>954</v>
      </c>
      <c r="C401" s="62" t="s">
        <v>490</v>
      </c>
      <c r="D401" s="62" t="s">
        <v>960</v>
      </c>
      <c r="E401" s="63" t="s">
        <v>961</v>
      </c>
      <c r="F401" s="62" t="s">
        <v>387</v>
      </c>
      <c r="G401" s="62" t="s">
        <v>226</v>
      </c>
      <c r="H401" s="62" t="s">
        <v>23</v>
      </c>
      <c r="I401" s="62" t="s">
        <v>216</v>
      </c>
      <c r="J401" s="62"/>
      <c r="K401" s="64">
        <v>0</v>
      </c>
      <c r="L401" s="64">
        <f t="shared" si="48"/>
        <v>0</v>
      </c>
      <c r="M401" s="65"/>
      <c r="N401" s="66"/>
      <c r="O401" s="62" t="s">
        <v>228</v>
      </c>
      <c r="P401" s="67"/>
      <c r="Q401" s="64">
        <f t="shared" si="53"/>
        <v>0</v>
      </c>
      <c r="R401" s="64">
        <f t="shared" si="54"/>
        <v>0</v>
      </c>
      <c r="S401" s="67">
        <f t="shared" si="49"/>
        <v>0</v>
      </c>
      <c r="T401" s="64">
        <f t="shared" si="50"/>
        <v>0</v>
      </c>
      <c r="U401" s="68">
        <f t="shared" si="51"/>
        <v>0</v>
      </c>
    </row>
    <row r="402" spans="1:21" x14ac:dyDescent="0.2">
      <c r="A402" s="61" t="s">
        <v>244</v>
      </c>
      <c r="B402" s="62" t="s">
        <v>954</v>
      </c>
      <c r="C402" s="62" t="s">
        <v>490</v>
      </c>
      <c r="D402" s="62" t="s">
        <v>962</v>
      </c>
      <c r="E402" s="63" t="s">
        <v>963</v>
      </c>
      <c r="F402" s="62" t="s">
        <v>387</v>
      </c>
      <c r="G402" s="62" t="s">
        <v>226</v>
      </c>
      <c r="H402" s="62" t="s">
        <v>23</v>
      </c>
      <c r="I402" s="62" t="s">
        <v>216</v>
      </c>
      <c r="J402" s="62"/>
      <c r="K402" s="64">
        <v>0</v>
      </c>
      <c r="L402" s="64">
        <f t="shared" si="48"/>
        <v>0</v>
      </c>
      <c r="M402" s="65"/>
      <c r="N402" s="66"/>
      <c r="O402" s="62" t="s">
        <v>228</v>
      </c>
      <c r="P402" s="67"/>
      <c r="Q402" s="64">
        <f t="shared" si="53"/>
        <v>0</v>
      </c>
      <c r="R402" s="64">
        <f t="shared" si="54"/>
        <v>0</v>
      </c>
      <c r="S402" s="67">
        <f t="shared" si="49"/>
        <v>0</v>
      </c>
      <c r="T402" s="64">
        <f t="shared" si="50"/>
        <v>0</v>
      </c>
      <c r="U402" s="68">
        <f t="shared" si="51"/>
        <v>0</v>
      </c>
    </row>
    <row r="403" spans="1:21" x14ac:dyDescent="0.2">
      <c r="A403" s="61" t="s">
        <v>244</v>
      </c>
      <c r="B403" s="62" t="s">
        <v>954</v>
      </c>
      <c r="C403" s="62" t="s">
        <v>490</v>
      </c>
      <c r="D403" s="62" t="s">
        <v>964</v>
      </c>
      <c r="E403" s="63" t="s">
        <v>965</v>
      </c>
      <c r="F403" s="62" t="s">
        <v>387</v>
      </c>
      <c r="G403" s="62" t="s">
        <v>226</v>
      </c>
      <c r="H403" s="62" t="s">
        <v>23</v>
      </c>
      <c r="I403" s="62" t="s">
        <v>216</v>
      </c>
      <c r="J403" s="62"/>
      <c r="K403" s="64">
        <v>0</v>
      </c>
      <c r="L403" s="64">
        <f t="shared" si="48"/>
        <v>0</v>
      </c>
      <c r="M403" s="65"/>
      <c r="N403" s="66"/>
      <c r="O403" s="62" t="s">
        <v>228</v>
      </c>
      <c r="P403" s="67"/>
      <c r="Q403" s="64">
        <f t="shared" si="53"/>
        <v>0</v>
      </c>
      <c r="R403" s="64">
        <f t="shared" si="54"/>
        <v>0</v>
      </c>
      <c r="S403" s="67">
        <f t="shared" si="49"/>
        <v>0</v>
      </c>
      <c r="T403" s="64">
        <f t="shared" si="50"/>
        <v>0</v>
      </c>
      <c r="U403" s="68">
        <f t="shared" si="51"/>
        <v>0</v>
      </c>
    </row>
    <row r="404" spans="1:21" x14ac:dyDescent="0.2">
      <c r="A404" s="61" t="s">
        <v>244</v>
      </c>
      <c r="B404" s="62" t="s">
        <v>966</v>
      </c>
      <c r="C404" s="62" t="s">
        <v>403</v>
      </c>
      <c r="D404" s="62" t="s">
        <v>967</v>
      </c>
      <c r="E404" s="63" t="s">
        <v>968</v>
      </c>
      <c r="F404" s="62" t="s">
        <v>257</v>
      </c>
      <c r="G404" s="62" t="s">
        <v>175</v>
      </c>
      <c r="H404" s="62" t="s">
        <v>22</v>
      </c>
      <c r="I404" s="62" t="s">
        <v>157</v>
      </c>
      <c r="J404" s="62"/>
      <c r="K404" s="64">
        <v>0.8</v>
      </c>
      <c r="L404" s="64">
        <f t="shared" si="48"/>
        <v>0.16000000000000003</v>
      </c>
      <c r="M404" s="65">
        <f>prodnorm57</f>
        <v>0</v>
      </c>
      <c r="N404" s="66">
        <f>dagwerk57</f>
        <v>0</v>
      </c>
      <c r="O404" s="62" t="s">
        <v>45</v>
      </c>
      <c r="P404" s="67">
        <f>uurtarief57</f>
        <v>0</v>
      </c>
      <c r="Q404" s="64" t="e">
        <f t="shared" ref="Q404:Q416" si="55">IF(ISBLANK(M404),0,L404/ROUND(M404,4))</f>
        <v>#DIV/0!</v>
      </c>
      <c r="R404" s="64" t="e">
        <f t="shared" ref="R404:R416" si="56">IF(ISBLANK(M404),0,Q404*ROUND(N404,2))</f>
        <v>#DIV/0!</v>
      </c>
      <c r="S404" s="67" t="e">
        <f t="shared" si="49"/>
        <v>#DIV/0!</v>
      </c>
      <c r="T404" s="64" t="e">
        <f t="shared" si="50"/>
        <v>#DIV/0!</v>
      </c>
      <c r="U404" s="68" t="e">
        <f t="shared" si="51"/>
        <v>#DIV/0!</v>
      </c>
    </row>
    <row r="405" spans="1:21" x14ac:dyDescent="0.2">
      <c r="A405" s="61" t="s">
        <v>244</v>
      </c>
      <c r="B405" s="62" t="s">
        <v>966</v>
      </c>
      <c r="C405" s="62" t="s">
        <v>403</v>
      </c>
      <c r="D405" s="62" t="s">
        <v>969</v>
      </c>
      <c r="E405" s="63" t="s">
        <v>970</v>
      </c>
      <c r="F405" s="62" t="s">
        <v>257</v>
      </c>
      <c r="G405" s="62" t="s">
        <v>175</v>
      </c>
      <c r="H405" s="62" t="s">
        <v>22</v>
      </c>
      <c r="I405" s="62" t="s">
        <v>157</v>
      </c>
      <c r="J405" s="62"/>
      <c r="K405" s="64">
        <v>4.2</v>
      </c>
      <c r="L405" s="64">
        <f t="shared" si="48"/>
        <v>0.84000000000000008</v>
      </c>
      <c r="M405" s="65">
        <f>prodnorm57</f>
        <v>0</v>
      </c>
      <c r="N405" s="66">
        <f>dagwerk57</f>
        <v>0</v>
      </c>
      <c r="O405" s="62" t="s">
        <v>45</v>
      </c>
      <c r="P405" s="67">
        <f>uurtarief57</f>
        <v>0</v>
      </c>
      <c r="Q405" s="64" t="e">
        <f t="shared" si="55"/>
        <v>#DIV/0!</v>
      </c>
      <c r="R405" s="64" t="e">
        <f t="shared" si="56"/>
        <v>#DIV/0!</v>
      </c>
      <c r="S405" s="67" t="e">
        <f t="shared" si="49"/>
        <v>#DIV/0!</v>
      </c>
      <c r="T405" s="64" t="e">
        <f t="shared" si="50"/>
        <v>#DIV/0!</v>
      </c>
      <c r="U405" s="68" t="e">
        <f t="shared" si="51"/>
        <v>#DIV/0!</v>
      </c>
    </row>
    <row r="406" spans="1:21" ht="25.5" x14ac:dyDescent="0.2">
      <c r="A406" s="61" t="s">
        <v>244</v>
      </c>
      <c r="B406" s="62" t="s">
        <v>971</v>
      </c>
      <c r="C406" s="62" t="s">
        <v>254</v>
      </c>
      <c r="D406" s="62" t="s">
        <v>972</v>
      </c>
      <c r="E406" s="63" t="s">
        <v>973</v>
      </c>
      <c r="F406" s="62" t="s">
        <v>257</v>
      </c>
      <c r="G406" s="62" t="s">
        <v>207</v>
      </c>
      <c r="H406" s="62" t="s">
        <v>17</v>
      </c>
      <c r="I406" s="62" t="s">
        <v>157</v>
      </c>
      <c r="J406" s="62"/>
      <c r="K406" s="64">
        <v>3.65</v>
      </c>
      <c r="L406" s="64">
        <f t="shared" si="48"/>
        <v>1.6460784313725489</v>
      </c>
      <c r="M406" s="65">
        <f>prodnorm84</f>
        <v>0</v>
      </c>
      <c r="N406" s="66">
        <f>dagwerk84</f>
        <v>0</v>
      </c>
      <c r="O406" s="62" t="s">
        <v>45</v>
      </c>
      <c r="P406" s="67">
        <f>uurtarief84</f>
        <v>0</v>
      </c>
      <c r="Q406" s="64" t="e">
        <f t="shared" si="55"/>
        <v>#DIV/0!</v>
      </c>
      <c r="R406" s="64" t="e">
        <f t="shared" si="56"/>
        <v>#DIV/0!</v>
      </c>
      <c r="S406" s="67" t="e">
        <f t="shared" si="49"/>
        <v>#DIV/0!</v>
      </c>
      <c r="T406" s="64" t="e">
        <f t="shared" si="50"/>
        <v>#DIV/0!</v>
      </c>
      <c r="U406" s="68" t="e">
        <f t="shared" si="51"/>
        <v>#DIV/0!</v>
      </c>
    </row>
    <row r="407" spans="1:21" x14ac:dyDescent="0.2">
      <c r="A407" s="61" t="s">
        <v>244</v>
      </c>
      <c r="B407" s="62" t="s">
        <v>971</v>
      </c>
      <c r="C407" s="62" t="s">
        <v>403</v>
      </c>
      <c r="D407" s="62" t="s">
        <v>974</v>
      </c>
      <c r="E407" s="63" t="s">
        <v>975</v>
      </c>
      <c r="F407" s="62" t="s">
        <v>337</v>
      </c>
      <c r="G407" s="62" t="s">
        <v>205</v>
      </c>
      <c r="H407" s="62" t="s">
        <v>23</v>
      </c>
      <c r="I407" s="62" t="s">
        <v>157</v>
      </c>
      <c r="J407" s="62"/>
      <c r="K407" s="64">
        <v>96</v>
      </c>
      <c r="L407" s="64">
        <f t="shared" si="48"/>
        <v>17.317647058823528</v>
      </c>
      <c r="M407" s="65">
        <f>prodnorm82</f>
        <v>0</v>
      </c>
      <c r="N407" s="66">
        <f>dagwerk82</f>
        <v>0</v>
      </c>
      <c r="O407" s="62" t="s">
        <v>45</v>
      </c>
      <c r="P407" s="67">
        <f>uurtarief82</f>
        <v>0</v>
      </c>
      <c r="Q407" s="64" t="e">
        <f t="shared" si="55"/>
        <v>#DIV/0!</v>
      </c>
      <c r="R407" s="64" t="e">
        <f t="shared" si="56"/>
        <v>#DIV/0!</v>
      </c>
      <c r="S407" s="67" t="e">
        <f t="shared" si="49"/>
        <v>#DIV/0!</v>
      </c>
      <c r="T407" s="64" t="e">
        <f t="shared" si="50"/>
        <v>#DIV/0!</v>
      </c>
      <c r="U407" s="68" t="e">
        <f t="shared" si="51"/>
        <v>#DIV/0!</v>
      </c>
    </row>
    <row r="408" spans="1:21" ht="25.5" x14ac:dyDescent="0.2">
      <c r="A408" s="61" t="s">
        <v>244</v>
      </c>
      <c r="B408" s="62" t="s">
        <v>971</v>
      </c>
      <c r="C408" s="62" t="s">
        <v>403</v>
      </c>
      <c r="D408" s="62" t="s">
        <v>976</v>
      </c>
      <c r="E408" s="63" t="s">
        <v>977</v>
      </c>
      <c r="F408" s="62" t="s">
        <v>257</v>
      </c>
      <c r="G408" s="62" t="s">
        <v>175</v>
      </c>
      <c r="H408" s="62" t="s">
        <v>22</v>
      </c>
      <c r="I408" s="62" t="s">
        <v>157</v>
      </c>
      <c r="J408" s="62"/>
      <c r="K408" s="64">
        <v>2.9</v>
      </c>
      <c r="L408" s="64">
        <f t="shared" si="48"/>
        <v>0.57999999999999996</v>
      </c>
      <c r="M408" s="65">
        <f>prodnorm57</f>
        <v>0</v>
      </c>
      <c r="N408" s="66">
        <f>dagwerk57</f>
        <v>0</v>
      </c>
      <c r="O408" s="62" t="s">
        <v>45</v>
      </c>
      <c r="P408" s="67">
        <f>uurtarief57</f>
        <v>0</v>
      </c>
      <c r="Q408" s="64" t="e">
        <f t="shared" si="55"/>
        <v>#DIV/0!</v>
      </c>
      <c r="R408" s="64" t="e">
        <f t="shared" si="56"/>
        <v>#DIV/0!</v>
      </c>
      <c r="S408" s="67" t="e">
        <f t="shared" si="49"/>
        <v>#DIV/0!</v>
      </c>
      <c r="T408" s="64" t="e">
        <f t="shared" si="50"/>
        <v>#DIV/0!</v>
      </c>
      <c r="U408" s="68" t="e">
        <f t="shared" si="51"/>
        <v>#DIV/0!</v>
      </c>
    </row>
    <row r="409" spans="1:21" x14ac:dyDescent="0.2">
      <c r="A409" s="61" t="s">
        <v>244</v>
      </c>
      <c r="B409" s="62" t="s">
        <v>971</v>
      </c>
      <c r="C409" s="62" t="s">
        <v>403</v>
      </c>
      <c r="D409" s="62" t="s">
        <v>978</v>
      </c>
      <c r="E409" s="63" t="s">
        <v>979</v>
      </c>
      <c r="F409" s="62" t="s">
        <v>257</v>
      </c>
      <c r="G409" s="62" t="s">
        <v>175</v>
      </c>
      <c r="H409" s="62" t="s">
        <v>22</v>
      </c>
      <c r="I409" s="62" t="s">
        <v>157</v>
      </c>
      <c r="J409" s="62"/>
      <c r="K409" s="64">
        <v>2.2000000000000002</v>
      </c>
      <c r="L409" s="64">
        <f t="shared" si="48"/>
        <v>0.44000000000000006</v>
      </c>
      <c r="M409" s="65">
        <f>prodnorm57</f>
        <v>0</v>
      </c>
      <c r="N409" s="66">
        <f>dagwerk57</f>
        <v>0</v>
      </c>
      <c r="O409" s="62" t="s">
        <v>45</v>
      </c>
      <c r="P409" s="67">
        <f>uurtarief57</f>
        <v>0</v>
      </c>
      <c r="Q409" s="64" t="e">
        <f t="shared" si="55"/>
        <v>#DIV/0!</v>
      </c>
      <c r="R409" s="64" t="e">
        <f t="shared" si="56"/>
        <v>#DIV/0!</v>
      </c>
      <c r="S409" s="67" t="e">
        <f t="shared" si="49"/>
        <v>#DIV/0!</v>
      </c>
      <c r="T409" s="64" t="e">
        <f t="shared" si="50"/>
        <v>#DIV/0!</v>
      </c>
      <c r="U409" s="68" t="e">
        <f t="shared" si="51"/>
        <v>#DIV/0!</v>
      </c>
    </row>
    <row r="410" spans="1:21" x14ac:dyDescent="0.2">
      <c r="A410" s="61" t="s">
        <v>244</v>
      </c>
      <c r="B410" s="62" t="s">
        <v>971</v>
      </c>
      <c r="C410" s="62" t="s">
        <v>490</v>
      </c>
      <c r="D410" s="62" t="s">
        <v>980</v>
      </c>
      <c r="E410" s="63" t="s">
        <v>981</v>
      </c>
      <c r="F410" s="62" t="s">
        <v>387</v>
      </c>
      <c r="G410" s="62" t="s">
        <v>207</v>
      </c>
      <c r="H410" s="62" t="s">
        <v>25</v>
      </c>
      <c r="I410" s="62" t="s">
        <v>157</v>
      </c>
      <c r="J410" s="62"/>
      <c r="K410" s="64">
        <v>12</v>
      </c>
      <c r="L410" s="64">
        <f t="shared" si="48"/>
        <v>1.223529411764706</v>
      </c>
      <c r="M410" s="65">
        <f>prodnorm88</f>
        <v>0</v>
      </c>
      <c r="N410" s="66">
        <f>dagwerk88</f>
        <v>0</v>
      </c>
      <c r="O410" s="62" t="s">
        <v>45</v>
      </c>
      <c r="P410" s="67">
        <f>uurtarief88</f>
        <v>0</v>
      </c>
      <c r="Q410" s="64" t="e">
        <f t="shared" si="55"/>
        <v>#DIV/0!</v>
      </c>
      <c r="R410" s="64" t="e">
        <f t="shared" si="56"/>
        <v>#DIV/0!</v>
      </c>
      <c r="S410" s="67" t="e">
        <f t="shared" si="49"/>
        <v>#DIV/0!</v>
      </c>
      <c r="T410" s="64" t="e">
        <f t="shared" si="50"/>
        <v>#DIV/0!</v>
      </c>
      <c r="U410" s="68" t="e">
        <f t="shared" si="51"/>
        <v>#DIV/0!</v>
      </c>
    </row>
    <row r="411" spans="1:21" x14ac:dyDescent="0.2">
      <c r="A411" s="61" t="s">
        <v>244</v>
      </c>
      <c r="B411" s="62" t="s">
        <v>971</v>
      </c>
      <c r="C411" s="62" t="s">
        <v>490</v>
      </c>
      <c r="D411" s="62" t="s">
        <v>982</v>
      </c>
      <c r="E411" s="63" t="s">
        <v>983</v>
      </c>
      <c r="F411" s="62" t="s">
        <v>286</v>
      </c>
      <c r="G411" s="62" t="s">
        <v>205</v>
      </c>
      <c r="H411" s="62" t="s">
        <v>23</v>
      </c>
      <c r="I411" s="62" t="s">
        <v>157</v>
      </c>
      <c r="J411" s="62"/>
      <c r="K411" s="64">
        <v>15</v>
      </c>
      <c r="L411" s="64">
        <f t="shared" si="48"/>
        <v>2.7058823529411766</v>
      </c>
      <c r="M411" s="65">
        <f t="shared" ref="M411:M416" si="57">prodnorm82</f>
        <v>0</v>
      </c>
      <c r="N411" s="66">
        <f t="shared" ref="N411:N416" si="58">dagwerk82</f>
        <v>0</v>
      </c>
      <c r="O411" s="62" t="s">
        <v>45</v>
      </c>
      <c r="P411" s="67">
        <f t="shared" ref="P411:P416" si="59">uurtarief82</f>
        <v>0</v>
      </c>
      <c r="Q411" s="64" t="e">
        <f t="shared" si="55"/>
        <v>#DIV/0!</v>
      </c>
      <c r="R411" s="64" t="e">
        <f t="shared" si="56"/>
        <v>#DIV/0!</v>
      </c>
      <c r="S411" s="67" t="e">
        <f t="shared" si="49"/>
        <v>#DIV/0!</v>
      </c>
      <c r="T411" s="64" t="e">
        <f t="shared" si="50"/>
        <v>#DIV/0!</v>
      </c>
      <c r="U411" s="68" t="e">
        <f t="shared" si="51"/>
        <v>#DIV/0!</v>
      </c>
    </row>
    <row r="412" spans="1:21" x14ac:dyDescent="0.2">
      <c r="A412" s="61" t="s">
        <v>244</v>
      </c>
      <c r="B412" s="62" t="s">
        <v>971</v>
      </c>
      <c r="C412" s="62" t="s">
        <v>246</v>
      </c>
      <c r="D412" s="62" t="s">
        <v>984</v>
      </c>
      <c r="E412" s="63" t="s">
        <v>328</v>
      </c>
      <c r="F412" s="62" t="s">
        <v>286</v>
      </c>
      <c r="G412" s="62" t="s">
        <v>205</v>
      </c>
      <c r="H412" s="62" t="s">
        <v>23</v>
      </c>
      <c r="I412" s="62" t="s">
        <v>157</v>
      </c>
      <c r="J412" s="62"/>
      <c r="K412" s="64">
        <v>15</v>
      </c>
      <c r="L412" s="64">
        <f t="shared" si="48"/>
        <v>2.7058823529411766</v>
      </c>
      <c r="M412" s="65">
        <f t="shared" si="57"/>
        <v>0</v>
      </c>
      <c r="N412" s="66">
        <f t="shared" si="58"/>
        <v>0</v>
      </c>
      <c r="O412" s="62" t="s">
        <v>45</v>
      </c>
      <c r="P412" s="67">
        <f t="shared" si="59"/>
        <v>0</v>
      </c>
      <c r="Q412" s="64" t="e">
        <f t="shared" si="55"/>
        <v>#DIV/0!</v>
      </c>
      <c r="R412" s="64" t="e">
        <f t="shared" si="56"/>
        <v>#DIV/0!</v>
      </c>
      <c r="S412" s="67" t="e">
        <f t="shared" si="49"/>
        <v>#DIV/0!</v>
      </c>
      <c r="T412" s="64" t="e">
        <f t="shared" si="50"/>
        <v>#DIV/0!</v>
      </c>
      <c r="U412" s="68" t="e">
        <f t="shared" si="51"/>
        <v>#DIV/0!</v>
      </c>
    </row>
    <row r="413" spans="1:21" x14ac:dyDescent="0.2">
      <c r="A413" s="61" t="s">
        <v>244</v>
      </c>
      <c r="B413" s="62" t="s">
        <v>971</v>
      </c>
      <c r="C413" s="62" t="s">
        <v>246</v>
      </c>
      <c r="D413" s="62" t="s">
        <v>985</v>
      </c>
      <c r="E413" s="63" t="s">
        <v>330</v>
      </c>
      <c r="F413" s="62" t="s">
        <v>257</v>
      </c>
      <c r="G413" s="62" t="s">
        <v>205</v>
      </c>
      <c r="H413" s="62" t="s">
        <v>23</v>
      </c>
      <c r="I413" s="62" t="s">
        <v>157</v>
      </c>
      <c r="J413" s="62"/>
      <c r="K413" s="64">
        <v>26</v>
      </c>
      <c r="L413" s="64">
        <f t="shared" si="48"/>
        <v>4.6901960784313728</v>
      </c>
      <c r="M413" s="65">
        <f t="shared" si="57"/>
        <v>0</v>
      </c>
      <c r="N413" s="66">
        <f t="shared" si="58"/>
        <v>0</v>
      </c>
      <c r="O413" s="62" t="s">
        <v>45</v>
      </c>
      <c r="P413" s="67">
        <f t="shared" si="59"/>
        <v>0</v>
      </c>
      <c r="Q413" s="64" t="e">
        <f t="shared" si="55"/>
        <v>#DIV/0!</v>
      </c>
      <c r="R413" s="64" t="e">
        <f t="shared" si="56"/>
        <v>#DIV/0!</v>
      </c>
      <c r="S413" s="67" t="e">
        <f t="shared" si="49"/>
        <v>#DIV/0!</v>
      </c>
      <c r="T413" s="64" t="e">
        <f t="shared" si="50"/>
        <v>#DIV/0!</v>
      </c>
      <c r="U413" s="68" t="e">
        <f t="shared" si="51"/>
        <v>#DIV/0!</v>
      </c>
    </row>
    <row r="414" spans="1:21" x14ac:dyDescent="0.2">
      <c r="A414" s="61" t="s">
        <v>244</v>
      </c>
      <c r="B414" s="62" t="s">
        <v>971</v>
      </c>
      <c r="C414" s="62" t="s">
        <v>246</v>
      </c>
      <c r="D414" s="62" t="s">
        <v>986</v>
      </c>
      <c r="E414" s="63" t="s">
        <v>983</v>
      </c>
      <c r="F414" s="62" t="s">
        <v>286</v>
      </c>
      <c r="G414" s="62" t="s">
        <v>205</v>
      </c>
      <c r="H414" s="62" t="s">
        <v>23</v>
      </c>
      <c r="I414" s="62" t="s">
        <v>157</v>
      </c>
      <c r="J414" s="62"/>
      <c r="K414" s="64">
        <v>11.5</v>
      </c>
      <c r="L414" s="64">
        <f t="shared" si="48"/>
        <v>2.0745098039215688</v>
      </c>
      <c r="M414" s="65">
        <f t="shared" si="57"/>
        <v>0</v>
      </c>
      <c r="N414" s="66">
        <f t="shared" si="58"/>
        <v>0</v>
      </c>
      <c r="O414" s="62" t="s">
        <v>45</v>
      </c>
      <c r="P414" s="67">
        <f t="shared" si="59"/>
        <v>0</v>
      </c>
      <c r="Q414" s="64" t="e">
        <f t="shared" si="55"/>
        <v>#DIV/0!</v>
      </c>
      <c r="R414" s="64" t="e">
        <f t="shared" si="56"/>
        <v>#DIV/0!</v>
      </c>
      <c r="S414" s="67" t="e">
        <f t="shared" si="49"/>
        <v>#DIV/0!</v>
      </c>
      <c r="T414" s="64" t="e">
        <f t="shared" si="50"/>
        <v>#DIV/0!</v>
      </c>
      <c r="U414" s="68" t="e">
        <f t="shared" si="51"/>
        <v>#DIV/0!</v>
      </c>
    </row>
    <row r="415" spans="1:21" x14ac:dyDescent="0.2">
      <c r="A415" s="61" t="s">
        <v>244</v>
      </c>
      <c r="B415" s="62" t="s">
        <v>971</v>
      </c>
      <c r="C415" s="62" t="s">
        <v>246</v>
      </c>
      <c r="D415" s="62" t="s">
        <v>987</v>
      </c>
      <c r="E415" s="63" t="s">
        <v>599</v>
      </c>
      <c r="F415" s="62" t="s">
        <v>286</v>
      </c>
      <c r="G415" s="62" t="s">
        <v>205</v>
      </c>
      <c r="H415" s="62" t="s">
        <v>23</v>
      </c>
      <c r="I415" s="62" t="s">
        <v>157</v>
      </c>
      <c r="J415" s="62"/>
      <c r="K415" s="64">
        <v>15</v>
      </c>
      <c r="L415" s="64">
        <f t="shared" si="48"/>
        <v>2.7058823529411766</v>
      </c>
      <c r="M415" s="65">
        <f t="shared" si="57"/>
        <v>0</v>
      </c>
      <c r="N415" s="66">
        <f t="shared" si="58"/>
        <v>0</v>
      </c>
      <c r="O415" s="62" t="s">
        <v>45</v>
      </c>
      <c r="P415" s="67">
        <f t="shared" si="59"/>
        <v>0</v>
      </c>
      <c r="Q415" s="64" t="e">
        <f t="shared" si="55"/>
        <v>#DIV/0!</v>
      </c>
      <c r="R415" s="64" t="e">
        <f t="shared" si="56"/>
        <v>#DIV/0!</v>
      </c>
      <c r="S415" s="67" t="e">
        <f t="shared" si="49"/>
        <v>#DIV/0!</v>
      </c>
      <c r="T415" s="64" t="e">
        <f t="shared" si="50"/>
        <v>#DIV/0!</v>
      </c>
      <c r="U415" s="68" t="e">
        <f t="shared" si="51"/>
        <v>#DIV/0!</v>
      </c>
    </row>
    <row r="416" spans="1:21" x14ac:dyDescent="0.2">
      <c r="A416" s="69" t="s">
        <v>244</v>
      </c>
      <c r="B416" s="70" t="s">
        <v>971</v>
      </c>
      <c r="C416" s="70" t="s">
        <v>681</v>
      </c>
      <c r="D416" s="70" t="s">
        <v>988</v>
      </c>
      <c r="E416" s="71" t="s">
        <v>599</v>
      </c>
      <c r="F416" s="70" t="s">
        <v>286</v>
      </c>
      <c r="G416" s="70" t="s">
        <v>205</v>
      </c>
      <c r="H416" s="70" t="s">
        <v>23</v>
      </c>
      <c r="I416" s="70" t="s">
        <v>157</v>
      </c>
      <c r="J416" s="70"/>
      <c r="K416" s="72">
        <v>11.2</v>
      </c>
      <c r="L416" s="72">
        <f t="shared" si="48"/>
        <v>2.0203921568627448</v>
      </c>
      <c r="M416" s="73">
        <f t="shared" si="57"/>
        <v>0</v>
      </c>
      <c r="N416" s="74">
        <f t="shared" si="58"/>
        <v>0</v>
      </c>
      <c r="O416" s="70" t="s">
        <v>45</v>
      </c>
      <c r="P416" s="75">
        <f t="shared" si="59"/>
        <v>0</v>
      </c>
      <c r="Q416" s="72" t="e">
        <f t="shared" si="55"/>
        <v>#DIV/0!</v>
      </c>
      <c r="R416" s="72" t="e">
        <f t="shared" si="56"/>
        <v>#DIV/0!</v>
      </c>
      <c r="S416" s="75" t="e">
        <f t="shared" si="49"/>
        <v>#DIV/0!</v>
      </c>
      <c r="T416" s="72" t="e">
        <f t="shared" si="50"/>
        <v>#DIV/0!</v>
      </c>
      <c r="U416" s="76" t="e">
        <f t="shared" si="51"/>
        <v>#DIV/0!</v>
      </c>
    </row>
    <row r="417" spans="1:21" x14ac:dyDescent="0.2">
      <c r="A417" s="43" t="s">
        <v>989</v>
      </c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6" t="e">
        <f>IF(_xlfn.SINGLE(object1_urenjaar1)&gt;0,_xlfn.SINGLE(object1_prijsjaar1)/_xlfn.SINGLE(object1_urenjaar1),0)</f>
        <v>#DIV/0!</v>
      </c>
      <c r="Q417" s="45" t="e">
        <f>SUM(Q5:Q416)</f>
        <v>#DIV/0!</v>
      </c>
      <c r="R417" s="45" t="e">
        <f>SUM(R5:R416)</f>
        <v>#DIV/0!</v>
      </c>
      <c r="S417" s="46" t="e">
        <f>SUM(S5:S416)</f>
        <v>#DIV/0!</v>
      </c>
      <c r="T417" s="45" t="e">
        <f>SUM(T5:T416)</f>
        <v>#DIV/0!</v>
      </c>
      <c r="U417" s="46" t="e">
        <f>SUM(U5:U416)</f>
        <v>#DIV/0!</v>
      </c>
    </row>
  </sheetData>
  <autoFilter ref="A3:U417" xr:uid="{A06D25F1-44FE-4FD9-B0CB-B9B3015B1BD4}"/>
  <pageMargins left="0.7" right="0.7" top="0.75" bottom="0.75" header="0.3" footer="0.3"/>
  <pageSetup scale="61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574C-8AC2-494A-925D-438E5F462143}">
  <dimension ref="A1:J69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990</v>
      </c>
    </row>
    <row r="3" spans="1:10" ht="25.5" x14ac:dyDescent="0.2">
      <c r="A3" s="77" t="s">
        <v>148</v>
      </c>
      <c r="B3" s="77" t="s">
        <v>7</v>
      </c>
      <c r="C3" s="78" t="s">
        <v>991</v>
      </c>
      <c r="D3" s="78" t="s">
        <v>992</v>
      </c>
      <c r="E3" s="78" t="s">
        <v>993</v>
      </c>
      <c r="F3" s="78" t="s">
        <v>994</v>
      </c>
      <c r="G3" s="78" t="s">
        <v>995</v>
      </c>
      <c r="H3" s="78" t="s">
        <v>996</v>
      </c>
      <c r="I3" s="77" t="s">
        <v>997</v>
      </c>
      <c r="J3" s="77" t="s">
        <v>998</v>
      </c>
    </row>
    <row r="4" spans="1:10" x14ac:dyDescent="0.2">
      <c r="A4" s="79"/>
      <c r="B4" s="79"/>
      <c r="C4" s="79"/>
      <c r="D4" s="79"/>
      <c r="E4" s="79"/>
      <c r="F4" s="79"/>
      <c r="G4" s="79"/>
      <c r="H4" s="79"/>
      <c r="I4" s="79"/>
      <c r="J4" s="80" t="s">
        <v>150</v>
      </c>
    </row>
    <row r="5" spans="1:10" x14ac:dyDescent="0.2">
      <c r="A5" s="15" t="s">
        <v>156</v>
      </c>
      <c r="B5" s="15" t="s">
        <v>27</v>
      </c>
      <c r="C5" s="15" t="s">
        <v>999</v>
      </c>
      <c r="D5" s="15" t="s">
        <v>157</v>
      </c>
      <c r="E5" s="30">
        <f t="shared" ref="E5:E36" si="0">IF(B5="","",VLOOKUP(B5,dagsoorttabel1,2,FALSE))</f>
        <v>4.7058823529411764E-2</v>
      </c>
      <c r="F5" s="30">
        <v>1</v>
      </c>
      <c r="G5" s="30">
        <f>IF(prodnorm38&gt;0,1/ROUND(prodnorm38,4),0)</f>
        <v>0</v>
      </c>
      <c r="H5" s="32">
        <f>ROUND(dagwerk38,4+2)</f>
        <v>0</v>
      </c>
      <c r="I5" s="33">
        <f>ROUND(uurtarief38,2)</f>
        <v>0</v>
      </c>
      <c r="J5" s="30">
        <v>56.8</v>
      </c>
    </row>
    <row r="6" spans="1:10" x14ac:dyDescent="0.2">
      <c r="A6" s="20" t="s">
        <v>156</v>
      </c>
      <c r="B6" s="20" t="s">
        <v>31</v>
      </c>
      <c r="C6" s="20" t="s">
        <v>999</v>
      </c>
      <c r="D6" s="20" t="s">
        <v>157</v>
      </c>
      <c r="E6" s="34">
        <f t="shared" si="0"/>
        <v>7.8431372549019607E-3</v>
      </c>
      <c r="F6" s="34">
        <v>1</v>
      </c>
      <c r="G6" s="34">
        <f>IF(prodnorm39&gt;0,1/ROUND(prodnorm39,4),0)</f>
        <v>0</v>
      </c>
      <c r="H6" s="36">
        <f>ROUND(dagwerk39,4+2)</f>
        <v>0</v>
      </c>
      <c r="I6" s="37">
        <f>ROUND(uurtarief39,2)</f>
        <v>0</v>
      </c>
      <c r="J6" s="34">
        <v>134.80000000000001</v>
      </c>
    </row>
    <row r="7" spans="1:10" x14ac:dyDescent="0.2">
      <c r="A7" s="20" t="s">
        <v>156</v>
      </c>
      <c r="B7" s="20" t="s">
        <v>28</v>
      </c>
      <c r="C7" s="20" t="s">
        <v>999</v>
      </c>
      <c r="D7" s="20" t="s">
        <v>157</v>
      </c>
      <c r="E7" s="34">
        <f t="shared" si="0"/>
        <v>2.3529411764705882E-2</v>
      </c>
      <c r="F7" s="34">
        <v>1</v>
      </c>
      <c r="G7" s="34">
        <f>IF(prodnorm40&gt;0,1/ROUND(prodnorm40,4),0)</f>
        <v>0</v>
      </c>
      <c r="H7" s="36">
        <f>ROUND(dagwerk40,4+2)</f>
        <v>0</v>
      </c>
      <c r="I7" s="37">
        <f>ROUND(uurtarief40,2)</f>
        <v>0</v>
      </c>
      <c r="J7" s="34">
        <v>65.3</v>
      </c>
    </row>
    <row r="8" spans="1:10" x14ac:dyDescent="0.2">
      <c r="A8" s="20" t="s">
        <v>159</v>
      </c>
      <c r="B8" s="20" t="s">
        <v>23</v>
      </c>
      <c r="C8" s="20" t="s">
        <v>999</v>
      </c>
      <c r="D8" s="20" t="s">
        <v>157</v>
      </c>
      <c r="E8" s="34">
        <f t="shared" si="0"/>
        <v>0.1803921568627451</v>
      </c>
      <c r="F8" s="34">
        <v>1</v>
      </c>
      <c r="G8" s="34">
        <f>IF(prodnorm41&gt;0,1/ROUND(prodnorm41,4),0)</f>
        <v>0</v>
      </c>
      <c r="H8" s="36">
        <f>ROUND(dagwerk41,4+2)</f>
        <v>0</v>
      </c>
      <c r="I8" s="37">
        <f>ROUND(uurtarief41,2)</f>
        <v>0</v>
      </c>
      <c r="J8" s="34">
        <v>72.3</v>
      </c>
    </row>
    <row r="9" spans="1:10" x14ac:dyDescent="0.2">
      <c r="A9" s="20" t="s">
        <v>161</v>
      </c>
      <c r="B9" s="20" t="s">
        <v>17</v>
      </c>
      <c r="C9" s="20" t="s">
        <v>999</v>
      </c>
      <c r="D9" s="20" t="s">
        <v>157</v>
      </c>
      <c r="E9" s="34">
        <f t="shared" si="0"/>
        <v>0.45098039215686275</v>
      </c>
      <c r="F9" s="34">
        <v>1</v>
      </c>
      <c r="G9" s="34">
        <f>IF(prodnorm42&gt;0,1/ROUND(prodnorm42,4),0)</f>
        <v>0</v>
      </c>
      <c r="H9" s="36">
        <f>ROUND(dagwerk42,4+2)</f>
        <v>0</v>
      </c>
      <c r="I9" s="37">
        <f>ROUND(uurtarief42,2)</f>
        <v>0</v>
      </c>
      <c r="J9" s="34">
        <v>1967.5</v>
      </c>
    </row>
    <row r="10" spans="1:10" x14ac:dyDescent="0.2">
      <c r="A10" s="20" t="s">
        <v>161</v>
      </c>
      <c r="B10" s="20" t="s">
        <v>16</v>
      </c>
      <c r="C10" s="20" t="s">
        <v>999</v>
      </c>
      <c r="D10" s="20" t="s">
        <v>157</v>
      </c>
      <c r="E10" s="34">
        <f t="shared" si="0"/>
        <v>0.49803921568627452</v>
      </c>
      <c r="F10" s="34">
        <v>1</v>
      </c>
      <c r="G10" s="34">
        <f>IF(prodnorm43&gt;0,1/ROUND(prodnorm43,4),0)</f>
        <v>0</v>
      </c>
      <c r="H10" s="36">
        <f>ROUND(dagwerk43,4+2)</f>
        <v>0</v>
      </c>
      <c r="I10" s="37">
        <f>ROUND(uurtarief43,2)</f>
        <v>0</v>
      </c>
      <c r="J10" s="34">
        <v>256.59999999999997</v>
      </c>
    </row>
    <row r="11" spans="1:10" x14ac:dyDescent="0.2">
      <c r="A11" s="20" t="s">
        <v>161</v>
      </c>
      <c r="B11" s="20" t="s">
        <v>12</v>
      </c>
      <c r="C11" s="20" t="s">
        <v>999</v>
      </c>
      <c r="D11" s="20" t="s">
        <v>157</v>
      </c>
      <c r="E11" s="34">
        <f t="shared" si="0"/>
        <v>0.90196078431372551</v>
      </c>
      <c r="F11" s="34">
        <v>1</v>
      </c>
      <c r="G11" s="34">
        <f>IF(prodnorm44&gt;0,1/ROUND(prodnorm44,4),0)</f>
        <v>0</v>
      </c>
      <c r="H11" s="36">
        <f>ROUND(dagwerk44,4+2)</f>
        <v>0</v>
      </c>
      <c r="I11" s="37">
        <f>ROUND(uurtarief44,2)</f>
        <v>0</v>
      </c>
      <c r="J11" s="34">
        <v>231.1</v>
      </c>
    </row>
    <row r="12" spans="1:10" x14ac:dyDescent="0.2">
      <c r="A12" s="20" t="s">
        <v>161</v>
      </c>
      <c r="B12" s="20" t="s">
        <v>11</v>
      </c>
      <c r="C12" s="20" t="s">
        <v>999</v>
      </c>
      <c r="D12" s="20" t="s">
        <v>157</v>
      </c>
      <c r="E12" s="34">
        <f t="shared" si="0"/>
        <v>1</v>
      </c>
      <c r="F12" s="34">
        <v>1</v>
      </c>
      <c r="G12" s="34">
        <f>IF(prodnorm45&gt;0,1/ROUND(prodnorm45,4),0)</f>
        <v>0</v>
      </c>
      <c r="H12" s="36">
        <f>ROUND(dagwerk45,4+2)</f>
        <v>0</v>
      </c>
      <c r="I12" s="37">
        <f>ROUND(uurtarief45,2)</f>
        <v>0</v>
      </c>
      <c r="J12" s="34">
        <v>12.5</v>
      </c>
    </row>
    <row r="13" spans="1:10" x14ac:dyDescent="0.2">
      <c r="A13" s="20" t="s">
        <v>161</v>
      </c>
      <c r="B13" s="20" t="s">
        <v>23</v>
      </c>
      <c r="C13" s="20" t="s">
        <v>999</v>
      </c>
      <c r="D13" s="20" t="s">
        <v>157</v>
      </c>
      <c r="E13" s="34">
        <f t="shared" si="0"/>
        <v>0.1803921568627451</v>
      </c>
      <c r="F13" s="34">
        <v>1</v>
      </c>
      <c r="G13" s="34">
        <f>IF(prodnorm46&gt;0,1/ROUND(prodnorm46,4),0)</f>
        <v>0</v>
      </c>
      <c r="H13" s="36">
        <f>ROUND(dagwerk46,4+2)</f>
        <v>0</v>
      </c>
      <c r="I13" s="37">
        <f>ROUND(uurtarief46,2)</f>
        <v>0</v>
      </c>
      <c r="J13" s="34">
        <v>53.900000000000006</v>
      </c>
    </row>
    <row r="14" spans="1:10" x14ac:dyDescent="0.2">
      <c r="A14" s="20" t="s">
        <v>161</v>
      </c>
      <c r="B14" s="20" t="s">
        <v>22</v>
      </c>
      <c r="C14" s="20" t="s">
        <v>999</v>
      </c>
      <c r="D14" s="20" t="s">
        <v>157</v>
      </c>
      <c r="E14" s="34">
        <f t="shared" si="0"/>
        <v>0.2</v>
      </c>
      <c r="F14" s="34">
        <v>1</v>
      </c>
      <c r="G14" s="34">
        <f>IF(prodnorm47&gt;0,1/ROUND(prodnorm47,4),0)</f>
        <v>0</v>
      </c>
      <c r="H14" s="36">
        <f>ROUND(dagwerk47,4+2)</f>
        <v>0</v>
      </c>
      <c r="I14" s="37">
        <f>ROUND(uurtarief47,2)</f>
        <v>0</v>
      </c>
      <c r="J14" s="34">
        <v>38.900000000000006</v>
      </c>
    </row>
    <row r="15" spans="1:10" x14ac:dyDescent="0.2">
      <c r="A15" s="20" t="s">
        <v>163</v>
      </c>
      <c r="B15" s="20" t="s">
        <v>17</v>
      </c>
      <c r="C15" s="20" t="s">
        <v>999</v>
      </c>
      <c r="D15" s="20" t="s">
        <v>157</v>
      </c>
      <c r="E15" s="34">
        <f t="shared" si="0"/>
        <v>0.45098039215686275</v>
      </c>
      <c r="F15" s="34">
        <v>1</v>
      </c>
      <c r="G15" s="34">
        <f>IF(prodnorm48&gt;0,1/ROUND(prodnorm48,4),0)</f>
        <v>0</v>
      </c>
      <c r="H15" s="36">
        <f>ROUND(dagwerk48,4+2)</f>
        <v>0</v>
      </c>
      <c r="I15" s="37">
        <f>ROUND(uurtarief48,2)</f>
        <v>0</v>
      </c>
      <c r="J15" s="34">
        <v>32.799999999999997</v>
      </c>
    </row>
    <row r="16" spans="1:10" x14ac:dyDescent="0.2">
      <c r="A16" s="20" t="s">
        <v>163</v>
      </c>
      <c r="B16" s="20" t="s">
        <v>16</v>
      </c>
      <c r="C16" s="20" t="s">
        <v>999</v>
      </c>
      <c r="D16" s="20" t="s">
        <v>157</v>
      </c>
      <c r="E16" s="34">
        <f t="shared" si="0"/>
        <v>0.49803921568627452</v>
      </c>
      <c r="F16" s="34">
        <v>1</v>
      </c>
      <c r="G16" s="34">
        <f>IF(prodnorm49&gt;0,1/ROUND(prodnorm49,4),0)</f>
        <v>0</v>
      </c>
      <c r="H16" s="36">
        <f>ROUND(dagwerk49,4+2)</f>
        <v>0</v>
      </c>
      <c r="I16" s="37">
        <f>ROUND(uurtarief49,2)</f>
        <v>0</v>
      </c>
      <c r="J16" s="34">
        <v>18.2</v>
      </c>
    </row>
    <row r="17" spans="1:10" x14ac:dyDescent="0.2">
      <c r="A17" s="20" t="s">
        <v>163</v>
      </c>
      <c r="B17" s="20" t="s">
        <v>12</v>
      </c>
      <c r="C17" s="20" t="s">
        <v>999</v>
      </c>
      <c r="D17" s="20" t="s">
        <v>157</v>
      </c>
      <c r="E17" s="34">
        <f t="shared" si="0"/>
        <v>0.90196078431372551</v>
      </c>
      <c r="F17" s="34">
        <v>1</v>
      </c>
      <c r="G17" s="34">
        <f>IF(prodnorm50&gt;0,1/ROUND(prodnorm50,4),0)</f>
        <v>0</v>
      </c>
      <c r="H17" s="36">
        <f>ROUND(dagwerk50,4+2)</f>
        <v>0</v>
      </c>
      <c r="I17" s="37">
        <f>ROUND(uurtarief50,2)</f>
        <v>0</v>
      </c>
      <c r="J17" s="34">
        <v>26.8</v>
      </c>
    </row>
    <row r="18" spans="1:10" x14ac:dyDescent="0.2">
      <c r="A18" s="20" t="s">
        <v>165</v>
      </c>
      <c r="B18" s="20" t="s">
        <v>12</v>
      </c>
      <c r="C18" s="20" t="s">
        <v>999</v>
      </c>
      <c r="D18" s="20" t="s">
        <v>157</v>
      </c>
      <c r="E18" s="34">
        <f t="shared" si="0"/>
        <v>0.90196078431372551</v>
      </c>
      <c r="F18" s="34">
        <v>1</v>
      </c>
      <c r="G18" s="34">
        <f>IF(prodnorm51&gt;0,1/ROUND(prodnorm51,4),0)</f>
        <v>0</v>
      </c>
      <c r="H18" s="36">
        <f>ROUND(dagwerk51,4+2)</f>
        <v>0</v>
      </c>
      <c r="I18" s="37">
        <f>ROUND(uurtarief51,2)</f>
        <v>0</v>
      </c>
      <c r="J18" s="34">
        <v>200.2</v>
      </c>
    </row>
    <row r="19" spans="1:10" x14ac:dyDescent="0.2">
      <c r="A19" s="20" t="s">
        <v>167</v>
      </c>
      <c r="B19" s="20" t="s">
        <v>12</v>
      </c>
      <c r="C19" s="20" t="s">
        <v>999</v>
      </c>
      <c r="D19" s="20" t="s">
        <v>157</v>
      </c>
      <c r="E19" s="34">
        <f t="shared" si="0"/>
        <v>0.90196078431372551</v>
      </c>
      <c r="F19" s="34">
        <v>1</v>
      </c>
      <c r="G19" s="34">
        <f>IF(prodnorm52&gt;0,1/ROUND(prodnorm52,4),0)</f>
        <v>0</v>
      </c>
      <c r="H19" s="36">
        <f>ROUND(dagwerk52,4+2)</f>
        <v>0</v>
      </c>
      <c r="I19" s="37">
        <f>ROUND(uurtarief52,2)</f>
        <v>0</v>
      </c>
      <c r="J19" s="34">
        <v>133</v>
      </c>
    </row>
    <row r="20" spans="1:10" x14ac:dyDescent="0.2">
      <c r="A20" s="20" t="s">
        <v>169</v>
      </c>
      <c r="B20" s="20" t="s">
        <v>17</v>
      </c>
      <c r="C20" s="20" t="s">
        <v>999</v>
      </c>
      <c r="D20" s="20" t="s">
        <v>157</v>
      </c>
      <c r="E20" s="34">
        <f t="shared" si="0"/>
        <v>0.45098039215686275</v>
      </c>
      <c r="F20" s="34">
        <v>1</v>
      </c>
      <c r="G20" s="34">
        <f>IF(prodnorm53&gt;0,1/ROUND(prodnorm53,4),0)</f>
        <v>0</v>
      </c>
      <c r="H20" s="36">
        <f>ROUND(dagwerk53,4+2)</f>
        <v>0</v>
      </c>
      <c r="I20" s="37">
        <f>ROUND(uurtarief53,2)</f>
        <v>0</v>
      </c>
      <c r="J20" s="34">
        <v>3.3</v>
      </c>
    </row>
    <row r="21" spans="1:10" x14ac:dyDescent="0.2">
      <c r="A21" s="20" t="s">
        <v>169</v>
      </c>
      <c r="B21" s="20" t="s">
        <v>12</v>
      </c>
      <c r="C21" s="20" t="s">
        <v>999</v>
      </c>
      <c r="D21" s="20" t="s">
        <v>157</v>
      </c>
      <c r="E21" s="34">
        <f t="shared" si="0"/>
        <v>0.90196078431372551</v>
      </c>
      <c r="F21" s="34">
        <v>1</v>
      </c>
      <c r="G21" s="34">
        <f>IF(prodnorm54&gt;0,1/ROUND(prodnorm54,4),0)</f>
        <v>0</v>
      </c>
      <c r="H21" s="36">
        <f>ROUND(dagwerk54,4+2)</f>
        <v>0</v>
      </c>
      <c r="I21" s="37">
        <f>ROUND(uurtarief54,2)</f>
        <v>0</v>
      </c>
      <c r="J21" s="34">
        <v>147.20000000000002</v>
      </c>
    </row>
    <row r="22" spans="1:10" x14ac:dyDescent="0.2">
      <c r="A22" s="20" t="s">
        <v>171</v>
      </c>
      <c r="B22" s="20" t="s">
        <v>12</v>
      </c>
      <c r="C22" s="20" t="s">
        <v>999</v>
      </c>
      <c r="D22" s="20" t="s">
        <v>157</v>
      </c>
      <c r="E22" s="34">
        <f t="shared" si="0"/>
        <v>0.90196078431372551</v>
      </c>
      <c r="F22" s="34">
        <v>1</v>
      </c>
      <c r="G22" s="34">
        <f>IF(prodnorm55&gt;0,1/ROUND(prodnorm55,4),0)</f>
        <v>0</v>
      </c>
      <c r="H22" s="36">
        <f>ROUND(dagwerk55,4+2)</f>
        <v>0</v>
      </c>
      <c r="I22" s="37">
        <f>ROUND(uurtarief55,2)</f>
        <v>0</v>
      </c>
      <c r="J22" s="34">
        <v>77.86</v>
      </c>
    </row>
    <row r="23" spans="1:10" x14ac:dyDescent="0.2">
      <c r="A23" s="20" t="s">
        <v>173</v>
      </c>
      <c r="B23" s="20" t="s">
        <v>12</v>
      </c>
      <c r="C23" s="20" t="s">
        <v>999</v>
      </c>
      <c r="D23" s="20" t="s">
        <v>157</v>
      </c>
      <c r="E23" s="34">
        <f t="shared" si="0"/>
        <v>0.90196078431372551</v>
      </c>
      <c r="F23" s="34">
        <v>1</v>
      </c>
      <c r="G23" s="34">
        <f>IF(prodnorm56&gt;0,1/ROUND(prodnorm56,4),0)</f>
        <v>0</v>
      </c>
      <c r="H23" s="36">
        <f>ROUND(dagwerk56,4+2)</f>
        <v>0</v>
      </c>
      <c r="I23" s="37">
        <f>ROUND(uurtarief56,2)</f>
        <v>0</v>
      </c>
      <c r="J23" s="34">
        <v>6.9</v>
      </c>
    </row>
    <row r="24" spans="1:10" x14ac:dyDescent="0.2">
      <c r="A24" s="20" t="s">
        <v>175</v>
      </c>
      <c r="B24" s="20" t="s">
        <v>22</v>
      </c>
      <c r="C24" s="20" t="s">
        <v>999</v>
      </c>
      <c r="D24" s="20" t="s">
        <v>157</v>
      </c>
      <c r="E24" s="34">
        <f t="shared" si="0"/>
        <v>0.2</v>
      </c>
      <c r="F24" s="34">
        <v>1</v>
      </c>
      <c r="G24" s="34">
        <f>IF(prodnorm57&gt;0,1/ROUND(prodnorm57,4),0)</f>
        <v>0</v>
      </c>
      <c r="H24" s="36">
        <f>ROUND(dagwerk57,4+2)</f>
        <v>0</v>
      </c>
      <c r="I24" s="37">
        <f>ROUND(uurtarief57,2)</f>
        <v>0</v>
      </c>
      <c r="J24" s="34">
        <v>40.5</v>
      </c>
    </row>
    <row r="25" spans="1:10" x14ac:dyDescent="0.2">
      <c r="A25" s="20" t="s">
        <v>177</v>
      </c>
      <c r="B25" s="20" t="s">
        <v>12</v>
      </c>
      <c r="C25" s="20" t="s">
        <v>999</v>
      </c>
      <c r="D25" s="20" t="s">
        <v>157</v>
      </c>
      <c r="E25" s="34">
        <f t="shared" si="0"/>
        <v>0.90196078431372551</v>
      </c>
      <c r="F25" s="34">
        <v>1</v>
      </c>
      <c r="G25" s="34">
        <f>IF(prodnorm58&gt;0,1/ROUND(prodnorm58,4),0)</f>
        <v>0</v>
      </c>
      <c r="H25" s="36">
        <f>ROUND(dagwerk58,4+2)</f>
        <v>0</v>
      </c>
      <c r="I25" s="37">
        <f>ROUND(uurtarief58,2)</f>
        <v>0</v>
      </c>
      <c r="J25" s="34">
        <v>128.80000000000001</v>
      </c>
    </row>
    <row r="26" spans="1:10" x14ac:dyDescent="0.2">
      <c r="A26" s="20" t="s">
        <v>179</v>
      </c>
      <c r="B26" s="20" t="s">
        <v>12</v>
      </c>
      <c r="C26" s="20" t="s">
        <v>999</v>
      </c>
      <c r="D26" s="20" t="s">
        <v>157</v>
      </c>
      <c r="E26" s="34">
        <f t="shared" si="0"/>
        <v>0.90196078431372551</v>
      </c>
      <c r="F26" s="34">
        <v>1</v>
      </c>
      <c r="G26" s="34">
        <f>IF(prodnorm59&gt;0,1/ROUND(prodnorm59,4),0)</f>
        <v>0</v>
      </c>
      <c r="H26" s="36">
        <f>ROUND(dagwerk59,4+2)</f>
        <v>0</v>
      </c>
      <c r="I26" s="37">
        <f>ROUND(uurtarief59,2)</f>
        <v>0</v>
      </c>
      <c r="J26" s="34">
        <v>82.1</v>
      </c>
    </row>
    <row r="27" spans="1:10" x14ac:dyDescent="0.2">
      <c r="A27" s="20" t="s">
        <v>181</v>
      </c>
      <c r="B27" s="20" t="s">
        <v>17</v>
      </c>
      <c r="C27" s="20" t="s">
        <v>999</v>
      </c>
      <c r="D27" s="20" t="s">
        <v>157</v>
      </c>
      <c r="E27" s="34">
        <f t="shared" si="0"/>
        <v>0.45098039215686275</v>
      </c>
      <c r="F27" s="34">
        <v>1</v>
      </c>
      <c r="G27" s="34">
        <f>IF(prodnorm60&gt;0,1/ROUND(prodnorm60,4),0)</f>
        <v>0</v>
      </c>
      <c r="H27" s="36">
        <f>ROUND(dagwerk60,4+2)</f>
        <v>0</v>
      </c>
      <c r="I27" s="37">
        <f>ROUND(uurtarief60,2)</f>
        <v>0</v>
      </c>
      <c r="J27" s="34">
        <v>1311</v>
      </c>
    </row>
    <row r="28" spans="1:10" x14ac:dyDescent="0.2">
      <c r="A28" s="20" t="s">
        <v>181</v>
      </c>
      <c r="B28" s="20" t="s">
        <v>15</v>
      </c>
      <c r="C28" s="20" t="s">
        <v>999</v>
      </c>
      <c r="D28" s="20" t="s">
        <v>157</v>
      </c>
      <c r="E28" s="34">
        <f t="shared" si="0"/>
        <v>0.54117647058823526</v>
      </c>
      <c r="F28" s="34">
        <v>1</v>
      </c>
      <c r="G28" s="34">
        <f>IF(prodnorm61&gt;0,1/ROUND(prodnorm61,4),0)</f>
        <v>0</v>
      </c>
      <c r="H28" s="36">
        <f>ROUND(dagwerk61,4+2)</f>
        <v>0</v>
      </c>
      <c r="I28" s="37">
        <f>ROUND(uurtarief61,2)</f>
        <v>0</v>
      </c>
      <c r="J28" s="34">
        <v>112.98000000000002</v>
      </c>
    </row>
    <row r="29" spans="1:10" x14ac:dyDescent="0.2">
      <c r="A29" s="20" t="s">
        <v>181</v>
      </c>
      <c r="B29" s="20" t="s">
        <v>12</v>
      </c>
      <c r="C29" s="20" t="s">
        <v>999</v>
      </c>
      <c r="D29" s="20" t="s">
        <v>157</v>
      </c>
      <c r="E29" s="34">
        <f t="shared" si="0"/>
        <v>0.90196078431372551</v>
      </c>
      <c r="F29" s="34">
        <v>1</v>
      </c>
      <c r="G29" s="34">
        <f>IF(prodnorm62&gt;0,1/ROUND(prodnorm62,4),0)</f>
        <v>0</v>
      </c>
      <c r="H29" s="36">
        <f>ROUND(dagwerk62,4+2)</f>
        <v>0</v>
      </c>
      <c r="I29" s="37">
        <f>ROUND(uurtarief62,2)</f>
        <v>0</v>
      </c>
      <c r="J29" s="34">
        <v>83.6</v>
      </c>
    </row>
    <row r="30" spans="1:10" x14ac:dyDescent="0.2">
      <c r="A30" s="20" t="s">
        <v>181</v>
      </c>
      <c r="B30" s="20" t="s">
        <v>11</v>
      </c>
      <c r="C30" s="20" t="s">
        <v>999</v>
      </c>
      <c r="D30" s="20" t="s">
        <v>157</v>
      </c>
      <c r="E30" s="34">
        <f t="shared" si="0"/>
        <v>1</v>
      </c>
      <c r="F30" s="34">
        <v>1</v>
      </c>
      <c r="G30" s="34">
        <f>IF(prodnorm63&gt;0,1/ROUND(prodnorm63,4),0)</f>
        <v>0</v>
      </c>
      <c r="H30" s="36">
        <f>ROUND(dagwerk63,4+2)</f>
        <v>0</v>
      </c>
      <c r="I30" s="37">
        <f>ROUND(uurtarief63,2)</f>
        <v>0</v>
      </c>
      <c r="J30" s="34">
        <v>119.8</v>
      </c>
    </row>
    <row r="31" spans="1:10" x14ac:dyDescent="0.2">
      <c r="A31" s="20" t="s">
        <v>181</v>
      </c>
      <c r="B31" s="20" t="s">
        <v>23</v>
      </c>
      <c r="C31" s="20" t="s">
        <v>999</v>
      </c>
      <c r="D31" s="20" t="s">
        <v>157</v>
      </c>
      <c r="E31" s="34">
        <f t="shared" si="0"/>
        <v>0.1803921568627451</v>
      </c>
      <c r="F31" s="34">
        <v>1</v>
      </c>
      <c r="G31" s="34">
        <f>IF(prodnorm64&gt;0,1/ROUND(prodnorm64,4),0)</f>
        <v>0</v>
      </c>
      <c r="H31" s="36">
        <f>ROUND(dagwerk64,4+2)</f>
        <v>0</v>
      </c>
      <c r="I31" s="37">
        <f>ROUND(uurtarief64,2)</f>
        <v>0</v>
      </c>
      <c r="J31" s="34">
        <v>92.100000000000009</v>
      </c>
    </row>
    <row r="32" spans="1:10" x14ac:dyDescent="0.2">
      <c r="A32" s="20" t="s">
        <v>183</v>
      </c>
      <c r="B32" s="20" t="s">
        <v>12</v>
      </c>
      <c r="C32" s="20" t="s">
        <v>999</v>
      </c>
      <c r="D32" s="20" t="s">
        <v>157</v>
      </c>
      <c r="E32" s="34">
        <f t="shared" si="0"/>
        <v>0.90196078431372551</v>
      </c>
      <c r="F32" s="34">
        <v>1</v>
      </c>
      <c r="G32" s="34">
        <f>IF(prodnorm65&gt;0,1/ROUND(prodnorm65,4),0)</f>
        <v>0</v>
      </c>
      <c r="H32" s="36">
        <f>ROUND(dagwerk65,4+2)</f>
        <v>0</v>
      </c>
      <c r="I32" s="37">
        <f>ROUND(uurtarief65,2)</f>
        <v>0</v>
      </c>
      <c r="J32" s="34">
        <v>1272.5299999999997</v>
      </c>
    </row>
    <row r="33" spans="1:10" x14ac:dyDescent="0.2">
      <c r="A33" s="20" t="s">
        <v>185</v>
      </c>
      <c r="B33" s="20" t="s">
        <v>12</v>
      </c>
      <c r="C33" s="20" t="s">
        <v>999</v>
      </c>
      <c r="D33" s="20" t="s">
        <v>157</v>
      </c>
      <c r="E33" s="34">
        <f t="shared" si="0"/>
        <v>0.90196078431372551</v>
      </c>
      <c r="F33" s="34">
        <v>1</v>
      </c>
      <c r="G33" s="34">
        <f>IF(prodnorm66&gt;0,1/ROUND(prodnorm66,4),0)</f>
        <v>0</v>
      </c>
      <c r="H33" s="36">
        <f>ROUND(dagwerk66,4+2)</f>
        <v>0</v>
      </c>
      <c r="I33" s="37">
        <f>ROUND(uurtarief66,2)</f>
        <v>0</v>
      </c>
      <c r="J33" s="34">
        <v>157.5</v>
      </c>
    </row>
    <row r="34" spans="1:10" x14ac:dyDescent="0.2">
      <c r="A34" s="20" t="s">
        <v>187</v>
      </c>
      <c r="B34" s="20" t="s">
        <v>12</v>
      </c>
      <c r="C34" s="20" t="s">
        <v>999</v>
      </c>
      <c r="D34" s="20" t="s">
        <v>157</v>
      </c>
      <c r="E34" s="34">
        <f t="shared" si="0"/>
        <v>0.90196078431372551</v>
      </c>
      <c r="F34" s="34">
        <v>1</v>
      </c>
      <c r="G34" s="34">
        <f>IF(prodnorm67&gt;0,1/ROUND(prodnorm67,4),0)</f>
        <v>0</v>
      </c>
      <c r="H34" s="36">
        <f>ROUND(dagwerk67,4+2)</f>
        <v>0</v>
      </c>
      <c r="I34" s="37">
        <f>ROUND(uurtarief67,2)</f>
        <v>0</v>
      </c>
      <c r="J34" s="34">
        <v>115</v>
      </c>
    </row>
    <row r="35" spans="1:10" x14ac:dyDescent="0.2">
      <c r="A35" s="20" t="s">
        <v>187</v>
      </c>
      <c r="B35" s="20" t="s">
        <v>11</v>
      </c>
      <c r="C35" s="20" t="s">
        <v>999</v>
      </c>
      <c r="D35" s="20" t="s">
        <v>157</v>
      </c>
      <c r="E35" s="34">
        <f t="shared" si="0"/>
        <v>1</v>
      </c>
      <c r="F35" s="34">
        <v>1</v>
      </c>
      <c r="G35" s="34">
        <f>IF(prodnorm68&gt;0,1/ROUND(prodnorm68,4),0)</f>
        <v>0</v>
      </c>
      <c r="H35" s="36">
        <f>ROUND(dagwerk68,4+2)</f>
        <v>0</v>
      </c>
      <c r="I35" s="37">
        <f>ROUND(uurtarief68,2)</f>
        <v>0</v>
      </c>
      <c r="J35" s="34">
        <v>43</v>
      </c>
    </row>
    <row r="36" spans="1:10" x14ac:dyDescent="0.2">
      <c r="A36" s="20" t="s">
        <v>189</v>
      </c>
      <c r="B36" s="20" t="s">
        <v>11</v>
      </c>
      <c r="C36" s="20" t="s">
        <v>999</v>
      </c>
      <c r="D36" s="20" t="s">
        <v>157</v>
      </c>
      <c r="E36" s="34">
        <f t="shared" si="0"/>
        <v>1</v>
      </c>
      <c r="F36" s="34">
        <v>1</v>
      </c>
      <c r="G36" s="34">
        <f>IF(prodnorm69&gt;0,1/ROUND(prodnorm69,4),0)</f>
        <v>0</v>
      </c>
      <c r="H36" s="36">
        <f>ROUND(dagwerk69,4+2)</f>
        <v>0</v>
      </c>
      <c r="I36" s="37">
        <f>ROUND(uurtarief69,2)</f>
        <v>0</v>
      </c>
      <c r="J36" s="34">
        <v>14.4</v>
      </c>
    </row>
    <row r="37" spans="1:10" x14ac:dyDescent="0.2">
      <c r="A37" s="20" t="s">
        <v>191</v>
      </c>
      <c r="B37" s="20" t="s">
        <v>12</v>
      </c>
      <c r="C37" s="20" t="s">
        <v>999</v>
      </c>
      <c r="D37" s="20" t="s">
        <v>157</v>
      </c>
      <c r="E37" s="34">
        <f t="shared" ref="E37:E68" si="1">IF(B37="","",VLOOKUP(B37,dagsoorttabel1,2,FALSE))</f>
        <v>0.90196078431372551</v>
      </c>
      <c r="F37" s="34">
        <v>1</v>
      </c>
      <c r="G37" s="34">
        <f>IF(prodnorm70&gt;0,1/ROUND(prodnorm70,4),0)</f>
        <v>0</v>
      </c>
      <c r="H37" s="36">
        <f>ROUND(dagwerk70,4+2)</f>
        <v>0</v>
      </c>
      <c r="I37" s="37">
        <f>ROUND(uurtarief70,2)</f>
        <v>0</v>
      </c>
      <c r="J37" s="34">
        <v>840.59999999999991</v>
      </c>
    </row>
    <row r="38" spans="1:10" x14ac:dyDescent="0.2">
      <c r="A38" s="20" t="s">
        <v>191</v>
      </c>
      <c r="B38" s="20" t="s">
        <v>23</v>
      </c>
      <c r="C38" s="20" t="s">
        <v>999</v>
      </c>
      <c r="D38" s="20" t="s">
        <v>157</v>
      </c>
      <c r="E38" s="34">
        <f t="shared" si="1"/>
        <v>0.1803921568627451</v>
      </c>
      <c r="F38" s="34">
        <v>1</v>
      </c>
      <c r="G38" s="34">
        <f>IF(prodnorm71&gt;0,1/ROUND(prodnorm71,4),0)</f>
        <v>0</v>
      </c>
      <c r="H38" s="36">
        <f>ROUND(dagwerk71,4+2)</f>
        <v>0</v>
      </c>
      <c r="I38" s="37">
        <f>ROUND(uurtarief71,2)</f>
        <v>0</v>
      </c>
      <c r="J38" s="34">
        <v>113.7</v>
      </c>
    </row>
    <row r="39" spans="1:10" x14ac:dyDescent="0.2">
      <c r="A39" s="20" t="s">
        <v>193</v>
      </c>
      <c r="B39" s="20" t="s">
        <v>12</v>
      </c>
      <c r="C39" s="20" t="s">
        <v>999</v>
      </c>
      <c r="D39" s="20" t="s">
        <v>157</v>
      </c>
      <c r="E39" s="34">
        <f t="shared" si="1"/>
        <v>0.90196078431372551</v>
      </c>
      <c r="F39" s="34">
        <v>1</v>
      </c>
      <c r="G39" s="34">
        <f>IF(prodnorm72&gt;0,1/ROUND(prodnorm72,4),0)</f>
        <v>0</v>
      </c>
      <c r="H39" s="36">
        <f>ROUND(dagwerk72,4+2)</f>
        <v>0</v>
      </c>
      <c r="I39" s="37">
        <f>ROUND(uurtarief72,2)</f>
        <v>0</v>
      </c>
      <c r="J39" s="34">
        <v>61.599999999999994</v>
      </c>
    </row>
    <row r="40" spans="1:10" x14ac:dyDescent="0.2">
      <c r="A40" s="20" t="s">
        <v>193</v>
      </c>
      <c r="B40" s="20" t="s">
        <v>11</v>
      </c>
      <c r="C40" s="20" t="s">
        <v>999</v>
      </c>
      <c r="D40" s="20" t="s">
        <v>157</v>
      </c>
      <c r="E40" s="34">
        <f t="shared" si="1"/>
        <v>1</v>
      </c>
      <c r="F40" s="34">
        <v>1</v>
      </c>
      <c r="G40" s="34">
        <f>IF(prodnorm73&gt;0,1/ROUND(prodnorm73,4),0)</f>
        <v>0</v>
      </c>
      <c r="H40" s="36">
        <f>ROUND(dagwerk73,4+2)</f>
        <v>0</v>
      </c>
      <c r="I40" s="37">
        <f>ROUND(uurtarief73,2)</f>
        <v>0</v>
      </c>
      <c r="J40" s="34">
        <v>77.900000000000006</v>
      </c>
    </row>
    <row r="41" spans="1:10" x14ac:dyDescent="0.2">
      <c r="A41" s="20" t="s">
        <v>195</v>
      </c>
      <c r="B41" s="20" t="s">
        <v>12</v>
      </c>
      <c r="C41" s="20" t="s">
        <v>999</v>
      </c>
      <c r="D41" s="20" t="s">
        <v>157</v>
      </c>
      <c r="E41" s="34">
        <f t="shared" si="1"/>
        <v>0.90196078431372551</v>
      </c>
      <c r="F41" s="34">
        <v>1</v>
      </c>
      <c r="G41" s="34">
        <f>IF(prodnorm74&gt;0,1/ROUND(prodnorm74,4),0)</f>
        <v>0</v>
      </c>
      <c r="H41" s="36">
        <f>ROUND(dagwerk74,4+2)</f>
        <v>0</v>
      </c>
      <c r="I41" s="37">
        <f>ROUND(uurtarief74,2)</f>
        <v>0</v>
      </c>
      <c r="J41" s="34">
        <v>137.9</v>
      </c>
    </row>
    <row r="42" spans="1:10" x14ac:dyDescent="0.2">
      <c r="A42" s="20" t="s">
        <v>197</v>
      </c>
      <c r="B42" s="20" t="s">
        <v>12</v>
      </c>
      <c r="C42" s="20" t="s">
        <v>999</v>
      </c>
      <c r="D42" s="20" t="s">
        <v>157</v>
      </c>
      <c r="E42" s="34">
        <f t="shared" si="1"/>
        <v>0.90196078431372551</v>
      </c>
      <c r="F42" s="34">
        <v>1</v>
      </c>
      <c r="G42" s="34">
        <f>IF(prodnorm75&gt;0,1/ROUND(prodnorm75,4),0)</f>
        <v>0</v>
      </c>
      <c r="H42" s="36">
        <f>ROUND(dagwerk75,4+2)</f>
        <v>0</v>
      </c>
      <c r="I42" s="37">
        <f>ROUND(uurtarief75,2)</f>
        <v>0</v>
      </c>
      <c r="J42" s="34">
        <v>141.9</v>
      </c>
    </row>
    <row r="43" spans="1:10" x14ac:dyDescent="0.2">
      <c r="A43" s="20" t="s">
        <v>199</v>
      </c>
      <c r="B43" s="20" t="s">
        <v>12</v>
      </c>
      <c r="C43" s="20" t="s">
        <v>999</v>
      </c>
      <c r="D43" s="20" t="s">
        <v>157</v>
      </c>
      <c r="E43" s="34">
        <f t="shared" si="1"/>
        <v>0.90196078431372551</v>
      </c>
      <c r="F43" s="34">
        <v>1</v>
      </c>
      <c r="G43" s="34">
        <f>IF(prodnorm76&gt;0,1/ROUND(prodnorm76,4),0)</f>
        <v>0</v>
      </c>
      <c r="H43" s="36">
        <f>ROUND(dagwerk76,4+2)</f>
        <v>0</v>
      </c>
      <c r="I43" s="37">
        <f>ROUND(uurtarief76,2)</f>
        <v>0</v>
      </c>
      <c r="J43" s="34">
        <v>90.7</v>
      </c>
    </row>
    <row r="44" spans="1:10" x14ac:dyDescent="0.2">
      <c r="A44" s="20" t="s">
        <v>201</v>
      </c>
      <c r="B44" s="20" t="s">
        <v>12</v>
      </c>
      <c r="C44" s="20" t="s">
        <v>999</v>
      </c>
      <c r="D44" s="20" t="s">
        <v>157</v>
      </c>
      <c r="E44" s="34">
        <f t="shared" si="1"/>
        <v>0.90196078431372551</v>
      </c>
      <c r="F44" s="34">
        <v>1</v>
      </c>
      <c r="G44" s="34">
        <f>IF(prodnorm77&gt;0,1/ROUND(prodnorm77,4),0)</f>
        <v>0</v>
      </c>
      <c r="H44" s="36">
        <f>ROUND(dagwerk77,4+2)</f>
        <v>0</v>
      </c>
      <c r="I44" s="37">
        <f>ROUND(uurtarief77,2)</f>
        <v>0</v>
      </c>
      <c r="J44" s="34">
        <v>252.7</v>
      </c>
    </row>
    <row r="45" spans="1:10" x14ac:dyDescent="0.2">
      <c r="A45" s="20" t="s">
        <v>201</v>
      </c>
      <c r="B45" s="20" t="s">
        <v>11</v>
      </c>
      <c r="C45" s="20" t="s">
        <v>999</v>
      </c>
      <c r="D45" s="20" t="s">
        <v>157</v>
      </c>
      <c r="E45" s="34">
        <f t="shared" si="1"/>
        <v>1</v>
      </c>
      <c r="F45" s="34">
        <v>1</v>
      </c>
      <c r="G45" s="34">
        <f>IF(prodnorm78&gt;0,1/ROUND(prodnorm78,4),0)</f>
        <v>0</v>
      </c>
      <c r="H45" s="36">
        <f>ROUND(dagwerk78,4+2)</f>
        <v>0</v>
      </c>
      <c r="I45" s="37">
        <f>ROUND(uurtarief78,2)</f>
        <v>0</v>
      </c>
      <c r="J45" s="34">
        <v>66</v>
      </c>
    </row>
    <row r="46" spans="1:10" x14ac:dyDescent="0.2">
      <c r="A46" s="20" t="s">
        <v>201</v>
      </c>
      <c r="B46" s="20" t="s">
        <v>23</v>
      </c>
      <c r="C46" s="20" t="s">
        <v>999</v>
      </c>
      <c r="D46" s="20" t="s">
        <v>157</v>
      </c>
      <c r="E46" s="34">
        <f t="shared" si="1"/>
        <v>0.1803921568627451</v>
      </c>
      <c r="F46" s="34">
        <v>1</v>
      </c>
      <c r="G46" s="34">
        <f>IF(prodnorm79&gt;0,1/ROUND(prodnorm79,4),0)</f>
        <v>0</v>
      </c>
      <c r="H46" s="36">
        <f>ROUND(dagwerk79,4+2)</f>
        <v>0</v>
      </c>
      <c r="I46" s="37">
        <f>ROUND(uurtarief79,2)</f>
        <v>0</v>
      </c>
      <c r="J46" s="34">
        <v>5.5</v>
      </c>
    </row>
    <row r="47" spans="1:10" x14ac:dyDescent="0.2">
      <c r="A47" s="20" t="s">
        <v>203</v>
      </c>
      <c r="B47" s="20" t="s">
        <v>11</v>
      </c>
      <c r="C47" s="20" t="s">
        <v>999</v>
      </c>
      <c r="D47" s="20" t="s">
        <v>157</v>
      </c>
      <c r="E47" s="34">
        <f t="shared" si="1"/>
        <v>1</v>
      </c>
      <c r="F47" s="34">
        <v>1</v>
      </c>
      <c r="G47" s="34">
        <f>IF(prodnorm80&gt;0,1/ROUND(prodnorm80,4),0)</f>
        <v>0</v>
      </c>
      <c r="H47" s="36">
        <f>ROUND(dagwerk80,4+2)</f>
        <v>0</v>
      </c>
      <c r="I47" s="37">
        <f>ROUND(uurtarief80,2)</f>
        <v>0</v>
      </c>
      <c r="J47" s="34">
        <v>70.400000000000006</v>
      </c>
    </row>
    <row r="48" spans="1:10" x14ac:dyDescent="0.2">
      <c r="A48" s="20" t="s">
        <v>203</v>
      </c>
      <c r="B48" s="20" t="s">
        <v>9</v>
      </c>
      <c r="C48" s="20" t="s">
        <v>999</v>
      </c>
      <c r="D48" s="20" t="s">
        <v>157</v>
      </c>
      <c r="E48" s="34">
        <f t="shared" si="1"/>
        <v>1.803921568627451</v>
      </c>
      <c r="F48" s="34">
        <v>1</v>
      </c>
      <c r="G48" s="34">
        <f>IF(prodnorm81&gt;0,1/ROUND(prodnorm81,4),0)</f>
        <v>0</v>
      </c>
      <c r="H48" s="36">
        <f>ROUND(dagwerk81,4+2)</f>
        <v>0</v>
      </c>
      <c r="I48" s="37">
        <f>ROUND(uurtarief81,2)</f>
        <v>0</v>
      </c>
      <c r="J48" s="34">
        <v>15.1</v>
      </c>
    </row>
    <row r="49" spans="1:10" x14ac:dyDescent="0.2">
      <c r="A49" s="20" t="s">
        <v>205</v>
      </c>
      <c r="B49" s="20" t="s">
        <v>23</v>
      </c>
      <c r="C49" s="20" t="s">
        <v>999</v>
      </c>
      <c r="D49" s="20" t="s">
        <v>157</v>
      </c>
      <c r="E49" s="34">
        <f t="shared" si="1"/>
        <v>0.1803921568627451</v>
      </c>
      <c r="F49" s="34">
        <v>1</v>
      </c>
      <c r="G49" s="34">
        <f>IF(prodnorm82&gt;0,1/ROUND(prodnorm82,4),0)</f>
        <v>0</v>
      </c>
      <c r="H49" s="36">
        <f>ROUND(dagwerk82,4+2)</f>
        <v>0</v>
      </c>
      <c r="I49" s="37">
        <f>ROUND(uurtarief82,2)</f>
        <v>0</v>
      </c>
      <c r="J49" s="34">
        <v>303.09999999999997</v>
      </c>
    </row>
    <row r="50" spans="1:10" x14ac:dyDescent="0.2">
      <c r="A50" s="20" t="s">
        <v>205</v>
      </c>
      <c r="B50" s="20" t="s">
        <v>22</v>
      </c>
      <c r="C50" s="20" t="s">
        <v>999</v>
      </c>
      <c r="D50" s="20" t="s">
        <v>157</v>
      </c>
      <c r="E50" s="34">
        <f t="shared" si="1"/>
        <v>0.2</v>
      </c>
      <c r="F50" s="34">
        <v>1</v>
      </c>
      <c r="G50" s="34">
        <f>IF(prodnorm83&gt;0,1/ROUND(prodnorm83,4),0)</f>
        <v>0</v>
      </c>
      <c r="H50" s="36">
        <f>ROUND(dagwerk83,4+2)</f>
        <v>0</v>
      </c>
      <c r="I50" s="37">
        <f>ROUND(uurtarief83,2)</f>
        <v>0</v>
      </c>
      <c r="J50" s="34">
        <v>452</v>
      </c>
    </row>
    <row r="51" spans="1:10" x14ac:dyDescent="0.2">
      <c r="A51" s="20" t="s">
        <v>207</v>
      </c>
      <c r="B51" s="20" t="s">
        <v>17</v>
      </c>
      <c r="C51" s="20" t="s">
        <v>999</v>
      </c>
      <c r="D51" s="20" t="s">
        <v>157</v>
      </c>
      <c r="E51" s="34">
        <f t="shared" si="1"/>
        <v>0.45098039215686275</v>
      </c>
      <c r="F51" s="34">
        <v>1</v>
      </c>
      <c r="G51" s="34">
        <f>IF(prodnorm84&gt;0,1/ROUND(prodnorm84,4),0)</f>
        <v>0</v>
      </c>
      <c r="H51" s="36">
        <f>ROUND(dagwerk84,4+2)</f>
        <v>0</v>
      </c>
      <c r="I51" s="37">
        <f>ROUND(uurtarief84,2)</f>
        <v>0</v>
      </c>
      <c r="J51" s="34">
        <v>2625.2500000000005</v>
      </c>
    </row>
    <row r="52" spans="1:10" x14ac:dyDescent="0.2">
      <c r="A52" s="20" t="s">
        <v>207</v>
      </c>
      <c r="B52" s="20" t="s">
        <v>32</v>
      </c>
      <c r="C52" s="20" t="s">
        <v>999</v>
      </c>
      <c r="D52" s="20" t="s">
        <v>157</v>
      </c>
      <c r="E52" s="34">
        <f t="shared" si="1"/>
        <v>3.9215686274509803E-3</v>
      </c>
      <c r="F52" s="34">
        <v>1</v>
      </c>
      <c r="G52" s="34">
        <f>IF(prodnorm85&gt;0,1/ROUND(prodnorm85,4),0)</f>
        <v>0</v>
      </c>
      <c r="H52" s="36">
        <f>ROUND(dagwerk85,4+2)</f>
        <v>0</v>
      </c>
      <c r="I52" s="37">
        <f>ROUND(uurtarief85,2)</f>
        <v>0</v>
      </c>
      <c r="J52" s="34">
        <v>36.299999999999997</v>
      </c>
    </row>
    <row r="53" spans="1:10" x14ac:dyDescent="0.2">
      <c r="A53" s="20" t="s">
        <v>207</v>
      </c>
      <c r="B53" s="20" t="s">
        <v>12</v>
      </c>
      <c r="C53" s="20" t="s">
        <v>999</v>
      </c>
      <c r="D53" s="20" t="s">
        <v>157</v>
      </c>
      <c r="E53" s="34">
        <f t="shared" si="1"/>
        <v>0.90196078431372551</v>
      </c>
      <c r="F53" s="34">
        <v>1</v>
      </c>
      <c r="G53" s="34">
        <f>IF(prodnorm86&gt;0,1/ROUND(prodnorm86,4),0)</f>
        <v>0</v>
      </c>
      <c r="H53" s="36">
        <f>ROUND(dagwerk86,4+2)</f>
        <v>0</v>
      </c>
      <c r="I53" s="37">
        <f>ROUND(uurtarief86,2)</f>
        <v>0</v>
      </c>
      <c r="J53" s="34">
        <v>1023.3400000000001</v>
      </c>
    </row>
    <row r="54" spans="1:10" x14ac:dyDescent="0.2">
      <c r="A54" s="20" t="s">
        <v>207</v>
      </c>
      <c r="B54" s="20" t="s">
        <v>11</v>
      </c>
      <c r="C54" s="20" t="s">
        <v>999</v>
      </c>
      <c r="D54" s="20" t="s">
        <v>157</v>
      </c>
      <c r="E54" s="34">
        <f t="shared" si="1"/>
        <v>1</v>
      </c>
      <c r="F54" s="34">
        <v>1</v>
      </c>
      <c r="G54" s="34">
        <f>IF(prodnorm87&gt;0,1/ROUND(prodnorm87,4),0)</f>
        <v>0</v>
      </c>
      <c r="H54" s="36">
        <f>ROUND(dagwerk87,4+2)</f>
        <v>0</v>
      </c>
      <c r="I54" s="37">
        <f>ROUND(uurtarief87,2)</f>
        <v>0</v>
      </c>
      <c r="J54" s="34">
        <v>513.9</v>
      </c>
    </row>
    <row r="55" spans="1:10" x14ac:dyDescent="0.2">
      <c r="A55" s="20" t="s">
        <v>207</v>
      </c>
      <c r="B55" s="20" t="s">
        <v>25</v>
      </c>
      <c r="C55" s="20" t="s">
        <v>999</v>
      </c>
      <c r="D55" s="20" t="s">
        <v>157</v>
      </c>
      <c r="E55" s="34">
        <f t="shared" si="1"/>
        <v>0.10196078431372549</v>
      </c>
      <c r="F55" s="34">
        <v>1</v>
      </c>
      <c r="G55" s="34">
        <f>IF(prodnorm88&gt;0,1/ROUND(prodnorm88,4),0)</f>
        <v>0</v>
      </c>
      <c r="H55" s="36">
        <f>ROUND(dagwerk88,4+2)</f>
        <v>0</v>
      </c>
      <c r="I55" s="37">
        <f>ROUND(uurtarief88,2)</f>
        <v>0</v>
      </c>
      <c r="J55" s="34">
        <v>12</v>
      </c>
    </row>
    <row r="56" spans="1:10" x14ac:dyDescent="0.2">
      <c r="A56" s="20" t="s">
        <v>207</v>
      </c>
      <c r="B56" s="20" t="s">
        <v>23</v>
      </c>
      <c r="C56" s="20" t="s">
        <v>999</v>
      </c>
      <c r="D56" s="20" t="s">
        <v>157</v>
      </c>
      <c r="E56" s="34">
        <f t="shared" si="1"/>
        <v>0.1803921568627451</v>
      </c>
      <c r="F56" s="34">
        <v>1</v>
      </c>
      <c r="G56" s="34">
        <f>IF(prodnorm89&gt;0,1/ROUND(prodnorm89,4),0)</f>
        <v>0</v>
      </c>
      <c r="H56" s="36">
        <f>ROUND(dagwerk89,4+2)</f>
        <v>0</v>
      </c>
      <c r="I56" s="37">
        <f>ROUND(uurtarief89,2)</f>
        <v>0</v>
      </c>
      <c r="J56" s="34">
        <v>116.30000000000001</v>
      </c>
    </row>
    <row r="57" spans="1:10" x14ac:dyDescent="0.2">
      <c r="A57" s="20" t="s">
        <v>207</v>
      </c>
      <c r="B57" s="20" t="s">
        <v>22</v>
      </c>
      <c r="C57" s="20" t="s">
        <v>999</v>
      </c>
      <c r="D57" s="20" t="s">
        <v>157</v>
      </c>
      <c r="E57" s="34">
        <f t="shared" si="1"/>
        <v>0.2</v>
      </c>
      <c r="F57" s="34">
        <v>1</v>
      </c>
      <c r="G57" s="34">
        <f>IF(prodnorm90&gt;0,1/ROUND(prodnorm90,4),0)</f>
        <v>0</v>
      </c>
      <c r="H57" s="36">
        <f>ROUND(dagwerk90,4+2)</f>
        <v>0</v>
      </c>
      <c r="I57" s="37">
        <f>ROUND(uurtarief90,2)</f>
        <v>0</v>
      </c>
      <c r="J57" s="34">
        <v>132</v>
      </c>
    </row>
    <row r="58" spans="1:10" x14ac:dyDescent="0.2">
      <c r="A58" s="20" t="s">
        <v>209</v>
      </c>
      <c r="B58" s="20" t="s">
        <v>12</v>
      </c>
      <c r="C58" s="20" t="s">
        <v>999</v>
      </c>
      <c r="D58" s="20" t="s">
        <v>157</v>
      </c>
      <c r="E58" s="34">
        <f t="shared" si="1"/>
        <v>0.90196078431372551</v>
      </c>
      <c r="F58" s="34">
        <v>1</v>
      </c>
      <c r="G58" s="34">
        <f>IF(prodnorm91&gt;0,1/ROUND(prodnorm91,4),0)</f>
        <v>0</v>
      </c>
      <c r="H58" s="36">
        <f>ROUND(dagwerk91,4+2)</f>
        <v>0</v>
      </c>
      <c r="I58" s="37">
        <f>ROUND(uurtarief91,2)</f>
        <v>0</v>
      </c>
      <c r="J58" s="34">
        <v>82.8</v>
      </c>
    </row>
    <row r="59" spans="1:10" x14ac:dyDescent="0.2">
      <c r="A59" s="20" t="s">
        <v>209</v>
      </c>
      <c r="B59" s="20" t="s">
        <v>11</v>
      </c>
      <c r="C59" s="20" t="s">
        <v>999</v>
      </c>
      <c r="D59" s="20" t="s">
        <v>157</v>
      </c>
      <c r="E59" s="34">
        <f t="shared" si="1"/>
        <v>1</v>
      </c>
      <c r="F59" s="34">
        <v>1</v>
      </c>
      <c r="G59" s="34">
        <f>IF(prodnorm92&gt;0,1/ROUND(prodnorm92,4),0)</f>
        <v>0</v>
      </c>
      <c r="H59" s="36">
        <f>ROUND(dagwerk92,4+2)</f>
        <v>0</v>
      </c>
      <c r="I59" s="37">
        <f>ROUND(uurtarief92,2)</f>
        <v>0</v>
      </c>
      <c r="J59" s="34">
        <v>53</v>
      </c>
    </row>
    <row r="60" spans="1:10" x14ac:dyDescent="0.2">
      <c r="A60" s="20" t="s">
        <v>209</v>
      </c>
      <c r="B60" s="20" t="s">
        <v>28</v>
      </c>
      <c r="C60" s="20" t="s">
        <v>999</v>
      </c>
      <c r="D60" s="20" t="s">
        <v>157</v>
      </c>
      <c r="E60" s="34">
        <f t="shared" si="1"/>
        <v>2.3529411764705882E-2</v>
      </c>
      <c r="F60" s="34">
        <v>1</v>
      </c>
      <c r="G60" s="34">
        <f>IF(prodnorm93&gt;0,1/ROUND(prodnorm93,4),0)</f>
        <v>0</v>
      </c>
      <c r="H60" s="36">
        <f>ROUND(dagwerk93,4+2)</f>
        <v>0</v>
      </c>
      <c r="I60" s="37">
        <f>ROUND(uurtarief93,2)</f>
        <v>0</v>
      </c>
      <c r="J60" s="34">
        <v>9.1999999999999993</v>
      </c>
    </row>
    <row r="61" spans="1:10" x14ac:dyDescent="0.2">
      <c r="A61" s="20" t="s">
        <v>211</v>
      </c>
      <c r="B61" s="20" t="s">
        <v>31</v>
      </c>
      <c r="C61" s="20" t="s">
        <v>999</v>
      </c>
      <c r="D61" s="20" t="s">
        <v>157</v>
      </c>
      <c r="E61" s="34">
        <f t="shared" si="1"/>
        <v>7.8431372549019607E-3</v>
      </c>
      <c r="F61" s="34">
        <v>1</v>
      </c>
      <c r="G61" s="34">
        <f>IF(prodnorm94&gt;0,1/ROUND(prodnorm94,4),0)</f>
        <v>0</v>
      </c>
      <c r="H61" s="36">
        <f>ROUND(dagwerk94,4+2)</f>
        <v>0</v>
      </c>
      <c r="I61" s="37">
        <f>ROUND(uurtarief94,2)</f>
        <v>0</v>
      </c>
      <c r="J61" s="34">
        <v>48.4</v>
      </c>
    </row>
    <row r="62" spans="1:10" x14ac:dyDescent="0.2">
      <c r="A62" s="20" t="s">
        <v>213</v>
      </c>
      <c r="B62" s="20" t="s">
        <v>12</v>
      </c>
      <c r="C62" s="20" t="s">
        <v>999</v>
      </c>
      <c r="D62" s="20" t="s">
        <v>157</v>
      </c>
      <c r="E62" s="34">
        <f t="shared" si="1"/>
        <v>0.90196078431372551</v>
      </c>
      <c r="F62" s="34">
        <v>1</v>
      </c>
      <c r="G62" s="34">
        <f>IF(prodnorm95&gt;0,1/ROUND(prodnorm95,4),0)</f>
        <v>0</v>
      </c>
      <c r="H62" s="36">
        <f>ROUND(dagwerk95,4+2)</f>
        <v>0</v>
      </c>
      <c r="I62" s="37">
        <f>ROUND(uurtarief95,2)</f>
        <v>0</v>
      </c>
      <c r="J62" s="34">
        <v>35.58</v>
      </c>
    </row>
    <row r="63" spans="1:10" x14ac:dyDescent="0.2">
      <c r="A63" s="20" t="s">
        <v>215</v>
      </c>
      <c r="B63" s="20" t="s">
        <v>22</v>
      </c>
      <c r="C63" s="20" t="s">
        <v>999</v>
      </c>
      <c r="D63" s="20" t="s">
        <v>216</v>
      </c>
      <c r="E63" s="34">
        <f t="shared" si="1"/>
        <v>0.2</v>
      </c>
      <c r="F63" s="34">
        <v>1</v>
      </c>
      <c r="G63" s="34">
        <f>ROUND(prodnorm32,4)/60</f>
        <v>0</v>
      </c>
      <c r="H63" s="36">
        <f>ROUND(dagwerk32,4+2)</f>
        <v>0</v>
      </c>
      <c r="I63" s="37">
        <f>ROUND(uurtarief32,2)</f>
        <v>0</v>
      </c>
      <c r="J63" s="34">
        <v>1</v>
      </c>
    </row>
    <row r="64" spans="1:10" x14ac:dyDescent="0.2">
      <c r="A64" s="20" t="s">
        <v>219</v>
      </c>
      <c r="B64" s="20" t="s">
        <v>31</v>
      </c>
      <c r="C64" s="20" t="s">
        <v>999</v>
      </c>
      <c r="D64" s="20" t="s">
        <v>216</v>
      </c>
      <c r="E64" s="34">
        <f t="shared" si="1"/>
        <v>7.8431372549019607E-3</v>
      </c>
      <c r="F64" s="34">
        <v>1</v>
      </c>
      <c r="G64" s="34">
        <f>ROUND(prodnorm33,4)/60</f>
        <v>0</v>
      </c>
      <c r="H64" s="36">
        <f>ROUND(dagwerk33,4+2)</f>
        <v>0</v>
      </c>
      <c r="I64" s="37">
        <f>ROUND(uurtarief33,2)</f>
        <v>0</v>
      </c>
      <c r="J64" s="34">
        <v>1</v>
      </c>
    </row>
    <row r="65" spans="1:10" x14ac:dyDescent="0.2">
      <c r="A65" s="20" t="s">
        <v>221</v>
      </c>
      <c r="B65" s="20" t="s">
        <v>32</v>
      </c>
      <c r="C65" s="20" t="s">
        <v>999</v>
      </c>
      <c r="D65" s="20" t="s">
        <v>216</v>
      </c>
      <c r="E65" s="34">
        <f t="shared" si="1"/>
        <v>3.9215686274509803E-3</v>
      </c>
      <c r="F65" s="34">
        <v>1</v>
      </c>
      <c r="G65" s="34">
        <f>ROUND(prodnorm34,4)/60</f>
        <v>0</v>
      </c>
      <c r="H65" s="36">
        <f>ROUND(dagwerk34,4+2)</f>
        <v>0</v>
      </c>
      <c r="I65" s="37">
        <f>ROUND(uurtarief34,2)</f>
        <v>0</v>
      </c>
      <c r="J65" s="34">
        <v>27</v>
      </c>
    </row>
    <row r="66" spans="1:10" x14ac:dyDescent="0.2">
      <c r="A66" s="20" t="s">
        <v>224</v>
      </c>
      <c r="B66" s="20" t="s">
        <v>32</v>
      </c>
      <c r="C66" s="20" t="s">
        <v>999</v>
      </c>
      <c r="D66" s="20" t="s">
        <v>216</v>
      </c>
      <c r="E66" s="34">
        <f t="shared" si="1"/>
        <v>3.9215686274509803E-3</v>
      </c>
      <c r="F66" s="34">
        <v>1</v>
      </c>
      <c r="G66" s="34">
        <f>ROUND(prodnorm35,4)/60</f>
        <v>0</v>
      </c>
      <c r="H66" s="36">
        <f>ROUND(dagwerk35,4+2)</f>
        <v>0</v>
      </c>
      <c r="I66" s="37">
        <f>ROUND(uurtarief35,2)</f>
        <v>0</v>
      </c>
      <c r="J66" s="34">
        <v>24</v>
      </c>
    </row>
    <row r="67" spans="1:10" x14ac:dyDescent="0.2">
      <c r="A67" s="20" t="s">
        <v>226</v>
      </c>
      <c r="B67" s="20" t="s">
        <v>23</v>
      </c>
      <c r="C67" s="20" t="s">
        <v>999</v>
      </c>
      <c r="D67" s="20" t="s">
        <v>216</v>
      </c>
      <c r="E67" s="34">
        <f t="shared" si="1"/>
        <v>0.1803921568627451</v>
      </c>
      <c r="F67" s="34">
        <v>1</v>
      </c>
      <c r="G67" s="34">
        <v>1</v>
      </c>
      <c r="H67" s="36">
        <f>ROUND(dagwerk36,4+2)</f>
        <v>0</v>
      </c>
      <c r="I67" s="37">
        <f>ROUND(uurtarief36,2)</f>
        <v>0</v>
      </c>
      <c r="J67" s="34">
        <v>4.5</v>
      </c>
    </row>
    <row r="68" spans="1:10" x14ac:dyDescent="0.2">
      <c r="A68" s="25" t="s">
        <v>229</v>
      </c>
      <c r="B68" s="25" t="s">
        <v>32</v>
      </c>
      <c r="C68" s="25" t="s">
        <v>999</v>
      </c>
      <c r="D68" s="25" t="s">
        <v>216</v>
      </c>
      <c r="E68" s="39">
        <f t="shared" si="1"/>
        <v>3.9215686274509803E-3</v>
      </c>
      <c r="F68" s="39">
        <v>1</v>
      </c>
      <c r="G68" s="39">
        <f>ROUND(prodnorm37,4)/60</f>
        <v>0</v>
      </c>
      <c r="H68" s="81">
        <f>ROUND(dagwerk37,4+2)</f>
        <v>0</v>
      </c>
      <c r="I68" s="41">
        <f>ROUND(uurtarief37,2)</f>
        <v>0</v>
      </c>
      <c r="J68" s="39">
        <v>1</v>
      </c>
    </row>
    <row r="69" spans="1:10" x14ac:dyDescent="0.2">
      <c r="A69" s="43" t="s">
        <v>231</v>
      </c>
      <c r="B69" s="44"/>
      <c r="C69" s="44"/>
      <c r="D69" s="44"/>
      <c r="E69" s="44"/>
      <c r="F69" s="44"/>
      <c r="G69" s="44"/>
      <c r="H69" s="44"/>
      <c r="I69" s="44"/>
      <c r="J69" s="82"/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ACB2-84DF-4420-B09A-992371CE4347}">
  <dimension ref="A1:R12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8" width="13.625" customWidth="1"/>
  </cols>
  <sheetData>
    <row r="1" spans="1:18" x14ac:dyDescent="0.2">
      <c r="A1" s="1" t="str">
        <f>CONCATENATE("Bijlage 1.4: ",tabeltype," objecten")</f>
        <v>Bijlage 1.4: Invultabel objecten</v>
      </c>
    </row>
    <row r="3" spans="1:18" ht="51" x14ac:dyDescent="0.2">
      <c r="A3" s="8" t="s">
        <v>234</v>
      </c>
      <c r="B3" s="8" t="s">
        <v>1000</v>
      </c>
      <c r="C3" s="8" t="s">
        <v>1001</v>
      </c>
      <c r="D3" s="8" t="s">
        <v>1002</v>
      </c>
      <c r="E3" s="8" t="s">
        <v>7</v>
      </c>
      <c r="F3" s="8" t="s">
        <v>1003</v>
      </c>
      <c r="G3" s="8" t="s">
        <v>1004</v>
      </c>
      <c r="H3" s="8" t="s">
        <v>1005</v>
      </c>
      <c r="I3" s="8" t="s">
        <v>1006</v>
      </c>
      <c r="J3" s="8" t="s">
        <v>1007</v>
      </c>
      <c r="K3" s="8" t="s">
        <v>1008</v>
      </c>
      <c r="L3" s="8" t="s">
        <v>1009</v>
      </c>
      <c r="M3" s="8" t="s">
        <v>1010</v>
      </c>
      <c r="N3" s="8" t="s">
        <v>1011</v>
      </c>
      <c r="O3" s="8" t="s">
        <v>1012</v>
      </c>
      <c r="P3" s="8" t="s">
        <v>154</v>
      </c>
      <c r="Q3" s="8" t="s">
        <v>155</v>
      </c>
      <c r="R3" s="8" t="s">
        <v>1013</v>
      </c>
    </row>
    <row r="4" spans="1:18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">
      <c r="A6" s="83" t="s">
        <v>244</v>
      </c>
      <c r="B6" s="83" t="s">
        <v>1014</v>
      </c>
      <c r="C6" s="83" t="s">
        <v>1015</v>
      </c>
      <c r="D6" s="83" t="s">
        <v>1016</v>
      </c>
      <c r="E6" s="84" t="s">
        <v>10</v>
      </c>
      <c r="F6" s="85">
        <f>gemuurtarief1</f>
        <v>0</v>
      </c>
      <c r="G6" s="86">
        <f>SUMPRODUCT(taakfreqtabel1,uurfactortabel1,kengetaltabel1,object1_opptabel1)*(1/VLOOKUP(E6,dagsoorttabel1,2,FALSE))</f>
        <v>0.81176470588235294</v>
      </c>
      <c r="H6" s="86">
        <f>SUMPRODUCT(dagwerktabel1,taakfreqtabel1,uurfactortabel1,kengetaltabel1,object1_opptabel1)*(1/VLOOKUP(E6,dagsoorttabel1,2,FALSE))</f>
        <v>0</v>
      </c>
      <c r="I6" s="87"/>
      <c r="J6" s="86">
        <f>H6+I6</f>
        <v>0</v>
      </c>
      <c r="K6" s="86">
        <f>G6+I6</f>
        <v>0.81176470588235294</v>
      </c>
      <c r="L6" s="88">
        <f>SUMPRODUCT(taakfreqtabel1,kengetaltabel1,tarieftabel1,object1_opptabel1)*(1/VLOOKUP(E6,dagsoorttabel1,2,FALSE))</f>
        <v>0</v>
      </c>
      <c r="M6" s="88">
        <f>F6*I6</f>
        <v>0</v>
      </c>
      <c r="N6" s="88">
        <f>SUM(L6:M6)</f>
        <v>0</v>
      </c>
      <c r="O6" s="86">
        <f>J6*dagenperjaar1*VLOOKUP(E6,dagsoorttabel1,2,FALSE)</f>
        <v>0</v>
      </c>
      <c r="P6" s="86">
        <f>K6*dagenperjaar1*VLOOKUP(E6,dagsoorttabel1,2,FALSE)</f>
        <v>207</v>
      </c>
      <c r="Q6" s="88">
        <f>N6*dagenperjaar1*VLOOKUP(E6,dagsoorttabel1,2,FALSE)</f>
        <v>0</v>
      </c>
      <c r="R6" s="88">
        <f>Q6/12</f>
        <v>0</v>
      </c>
    </row>
    <row r="7" spans="1:18" x14ac:dyDescent="0.2">
      <c r="A7" s="43" t="s">
        <v>231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>
        <f>SUM(O6:O6)</f>
        <v>0</v>
      </c>
      <c r="P7" s="45">
        <f>SUM(P6:P6)</f>
        <v>207</v>
      </c>
      <c r="Q7" s="46">
        <f>SUM(Q6:Q6)</f>
        <v>0</v>
      </c>
      <c r="R7" s="47">
        <f>SUM(R6:R6)</f>
        <v>0</v>
      </c>
    </row>
    <row r="8" spans="1:18" x14ac:dyDescent="0.2">
      <c r="A8" s="48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9"/>
    </row>
    <row r="10" spans="1:18" x14ac:dyDescent="0.2">
      <c r="A10" s="43" t="s">
        <v>1017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>
        <f>urenjaartotaalhf1</f>
        <v>0</v>
      </c>
      <c r="P10" s="45">
        <f>urenjaartotaal1</f>
        <v>207</v>
      </c>
      <c r="Q10" s="46">
        <f>prijsjaartotaal1</f>
        <v>0</v>
      </c>
      <c r="R10" s="46">
        <f>prijsmaandtotaal1</f>
        <v>0</v>
      </c>
    </row>
    <row r="12" spans="1:18" x14ac:dyDescent="0.2">
      <c r="A12" s="43" t="s">
        <v>1018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6">
        <f>Q10*1.21</f>
        <v>0</v>
      </c>
      <c r="R12" s="46">
        <f>R10*1.21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F5A9-0646-4D57-9D2D-D2446FDEC2E0}">
  <dimension ref="A1:K2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1.5: ",tabeltype," niet-meewerkende objectleiding")</f>
        <v>Bijlage 1.5: Invultabel niet-meewerkende objectleiding</v>
      </c>
    </row>
    <row r="3" spans="1:11" ht="38.25" x14ac:dyDescent="0.2">
      <c r="A3" s="8" t="s">
        <v>1019</v>
      </c>
      <c r="B3" s="8" t="s">
        <v>7</v>
      </c>
      <c r="C3" s="8" t="s">
        <v>1020</v>
      </c>
      <c r="D3" s="8" t="s">
        <v>1021</v>
      </c>
      <c r="E3" s="8" t="s">
        <v>1022</v>
      </c>
      <c r="F3" s="8" t="s">
        <v>1023</v>
      </c>
      <c r="G3" s="8" t="s">
        <v>1024</v>
      </c>
      <c r="H3" s="8" t="s">
        <v>154</v>
      </c>
      <c r="I3" s="8" t="s">
        <v>1025</v>
      </c>
      <c r="J3" s="8" t="s">
        <v>1026</v>
      </c>
      <c r="K3" s="8" t="s">
        <v>1027</v>
      </c>
    </row>
    <row r="4" spans="1:11" x14ac:dyDescent="0.2">
      <c r="A4" s="89"/>
      <c r="B4" s="90"/>
      <c r="C4" s="90"/>
      <c r="D4" s="90"/>
      <c r="E4" s="90"/>
      <c r="F4" s="90"/>
      <c r="G4" s="90"/>
      <c r="H4" s="90"/>
      <c r="I4" s="90"/>
      <c r="J4" s="90"/>
      <c r="K4" s="91"/>
    </row>
    <row r="5" spans="1:11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92" t="s">
        <v>243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1028</v>
      </c>
      <c r="B8" s="15" t="s">
        <v>11</v>
      </c>
      <c r="C8" s="16">
        <f>IF(ISBLANK(B8),0,IF(ISERROR(VALUE(B8)),VLOOKUP(B8,dagsoorttabel1,2,FALSE)*dagenperjaar1,VALUE(B8)))</f>
        <v>255</v>
      </c>
      <c r="D8" s="15" t="s">
        <v>1029</v>
      </c>
      <c r="E8" s="19"/>
      <c r="F8" s="18"/>
      <c r="G8" s="93"/>
      <c r="H8" s="30">
        <f>IF(ISBLANK(G8),0,G8*C8)+IF(ISBLANK(F8),0,F8*objecturen1_1)</f>
        <v>0</v>
      </c>
      <c r="I8" s="30">
        <f>IF(C8=0,0,H8/C8)</f>
        <v>0</v>
      </c>
      <c r="J8" s="33">
        <f>IF(ISBLANK(E8),0,ROUND(E8,2)*H8)</f>
        <v>0</v>
      </c>
      <c r="K8" s="33">
        <f>J8/12</f>
        <v>0</v>
      </c>
    </row>
    <row r="9" spans="1:11" x14ac:dyDescent="0.2">
      <c r="A9" s="20"/>
      <c r="B9" s="20"/>
      <c r="C9" s="94">
        <f>dagenperjaar1</f>
        <v>255</v>
      </c>
      <c r="D9" s="95" t="s">
        <v>1030</v>
      </c>
      <c r="E9" s="24"/>
      <c r="F9" s="23"/>
      <c r="G9" s="96"/>
      <c r="H9" s="34">
        <f>IF(ISBLANK(G9),0,G9*C9)+IF(ISBLANK(F9),0,F9*objecturen1_1)</f>
        <v>0</v>
      </c>
      <c r="I9" s="34">
        <f>IF(C9=0,0,H9/C9)</f>
        <v>0</v>
      </c>
      <c r="J9" s="37">
        <f>IF(ISBLANK(E9),0,ROUND(E9,2)*H9)</f>
        <v>0</v>
      </c>
      <c r="K9" s="37">
        <f>J9/12</f>
        <v>0</v>
      </c>
    </row>
    <row r="10" spans="1:11" x14ac:dyDescent="0.2">
      <c r="A10" s="20"/>
      <c r="B10" s="20"/>
      <c r="C10" s="94">
        <f>dagenperjaar1</f>
        <v>255</v>
      </c>
      <c r="D10" s="95" t="s">
        <v>1030</v>
      </c>
      <c r="E10" s="24"/>
      <c r="F10" s="23"/>
      <c r="G10" s="96"/>
      <c r="H10" s="34">
        <f>IF(ISBLANK(G10),0,G10*C10)+IF(ISBLANK(F10),0,F10*objecturen1_1)</f>
        <v>0</v>
      </c>
      <c r="I10" s="34">
        <f>IF(C10=0,0,H10/C10)</f>
        <v>0</v>
      </c>
      <c r="J10" s="37">
        <f>IF(ISBLANK(E10),0,ROUND(E10,2)*H10)</f>
        <v>0</v>
      </c>
      <c r="K10" s="37">
        <f>J10/12</f>
        <v>0</v>
      </c>
    </row>
    <row r="11" spans="1:11" x14ac:dyDescent="0.2">
      <c r="A11" s="20"/>
      <c r="B11" s="20"/>
      <c r="C11" s="94">
        <f>dagenperjaar1</f>
        <v>255</v>
      </c>
      <c r="D11" s="95" t="s">
        <v>1031</v>
      </c>
      <c r="E11" s="24"/>
      <c r="F11" s="97"/>
      <c r="G11" s="22"/>
      <c r="H11" s="34">
        <f>IF(ISBLANK(G11),0,G11*C11)+IF(ISBLANK(F11),0,F11*objecturen1_1)</f>
        <v>0</v>
      </c>
      <c r="I11" s="34">
        <f>IF(C11=0,0,H11/C11)</f>
        <v>0</v>
      </c>
      <c r="J11" s="37">
        <f>IF(ISBLANK(E11),0,ROUND(E11,2)*H11)</f>
        <v>0</v>
      </c>
      <c r="K11" s="37">
        <f>J11/12</f>
        <v>0</v>
      </c>
    </row>
    <row r="12" spans="1:11" x14ac:dyDescent="0.2">
      <c r="A12" s="25"/>
      <c r="B12" s="25"/>
      <c r="C12" s="98">
        <f>dagenperjaar1</f>
        <v>255</v>
      </c>
      <c r="D12" s="99" t="s">
        <v>1031</v>
      </c>
      <c r="E12" s="29"/>
      <c r="F12" s="100"/>
      <c r="G12" s="27"/>
      <c r="H12" s="39">
        <f>IF(ISBLANK(G12),0,G12*C12)+IF(ISBLANK(F12),0,F12*objecturen1_1)</f>
        <v>0</v>
      </c>
      <c r="I12" s="39">
        <f>IF(C12=0,0,H12/C12)</f>
        <v>0</v>
      </c>
      <c r="J12" s="41">
        <f>IF(ISBLANK(E12),0,ROUND(E12,2)*H12)</f>
        <v>0</v>
      </c>
      <c r="K12" s="41">
        <f>J12/12</f>
        <v>0</v>
      </c>
    </row>
    <row r="13" spans="1:11" x14ac:dyDescent="0.2">
      <c r="A13" s="101" t="s">
        <v>1032</v>
      </c>
      <c r="B13" s="44"/>
      <c r="C13" s="44"/>
      <c r="D13" s="44"/>
      <c r="E13" s="44"/>
      <c r="F13" s="44"/>
      <c r="G13" s="44"/>
      <c r="H13" s="45">
        <f>SUM(H8:H12)</f>
        <v>0</v>
      </c>
      <c r="I13" s="44"/>
      <c r="J13" s="46">
        <f>SUM(J8:J12)</f>
        <v>0</v>
      </c>
      <c r="K13" s="47">
        <f>SUM(K8:K12)</f>
        <v>0</v>
      </c>
    </row>
    <row r="14" spans="1:11" x14ac:dyDescent="0.2">
      <c r="A14" s="48"/>
      <c r="B14" s="44"/>
      <c r="C14" s="44"/>
      <c r="D14" s="44"/>
      <c r="E14" s="44"/>
      <c r="F14" s="44"/>
      <c r="G14" s="44"/>
      <c r="H14" s="44"/>
      <c r="I14" s="44"/>
      <c r="J14" s="44"/>
      <c r="K14" s="49"/>
    </row>
    <row r="15" spans="1:11" x14ac:dyDescent="0.2">
      <c r="A15" s="43" t="s">
        <v>231</v>
      </c>
      <c r="B15" s="44"/>
      <c r="C15" s="44"/>
      <c r="D15" s="44"/>
      <c r="E15" s="44"/>
      <c r="F15" s="44"/>
      <c r="G15" s="44"/>
      <c r="H15" s="45">
        <f>tzujt1_1</f>
        <v>0</v>
      </c>
      <c r="I15" s="44"/>
      <c r="J15" s="46">
        <f>tzpjt1_1</f>
        <v>0</v>
      </c>
      <c r="K15" s="47">
        <f>tzpmt1_1</f>
        <v>0</v>
      </c>
    </row>
    <row r="16" spans="1:11" x14ac:dyDescent="0.2">
      <c r="A16" s="48"/>
      <c r="B16" s="44"/>
      <c r="C16" s="44"/>
      <c r="D16" s="44"/>
      <c r="E16" s="44"/>
      <c r="F16" s="44"/>
      <c r="G16" s="44"/>
      <c r="H16" s="44"/>
      <c r="I16" s="44"/>
      <c r="J16" s="44"/>
      <c r="K16" s="49"/>
    </row>
    <row r="18" spans="1:11" x14ac:dyDescent="0.2">
      <c r="A18" s="43" t="s">
        <v>1033</v>
      </c>
      <c r="B18" s="44"/>
      <c r="C18" s="44"/>
      <c r="D18" s="44"/>
      <c r="E18" s="44"/>
      <c r="F18" s="44"/>
      <c r="G18" s="44"/>
      <c r="H18" s="45">
        <f>tzujt1</f>
        <v>0</v>
      </c>
      <c r="I18" s="44"/>
      <c r="J18" s="46">
        <f>tzpjt1</f>
        <v>0</v>
      </c>
      <c r="K18" s="46">
        <f>tzpmt1</f>
        <v>0</v>
      </c>
    </row>
    <row r="20" spans="1:11" x14ac:dyDescent="0.2">
      <c r="A20" s="43" t="s">
        <v>1034</v>
      </c>
      <c r="B20" s="44"/>
      <c r="C20" s="44"/>
      <c r="D20" s="44"/>
      <c r="E20" s="44"/>
      <c r="F20" s="44"/>
      <c r="G20" s="44"/>
      <c r="H20" s="44"/>
      <c r="I20" s="44"/>
      <c r="J20" s="46">
        <f>J18*1.21</f>
        <v>0</v>
      </c>
      <c r="K20" s="46">
        <f>K18*1.21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5F0B-2634-4C7E-BF73-317EC03B31C4}">
  <dimension ref="A1:L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1.6: ",tabeltype," totaalblad objecten")</f>
        <v>Bijlage 1.6: Invultabel totaalblad objecten</v>
      </c>
    </row>
    <row r="3" spans="1:12" ht="38.25" x14ac:dyDescent="0.2">
      <c r="A3" s="8" t="s">
        <v>234</v>
      </c>
      <c r="B3" s="8" t="s">
        <v>1000</v>
      </c>
      <c r="C3" s="8" t="s">
        <v>1001</v>
      </c>
      <c r="D3" s="8" t="s">
        <v>1002</v>
      </c>
      <c r="E3" s="8" t="s">
        <v>1012</v>
      </c>
      <c r="F3" s="8" t="s">
        <v>154</v>
      </c>
      <c r="G3" s="8" t="s">
        <v>1035</v>
      </c>
      <c r="H3" s="8" t="s">
        <v>1036</v>
      </c>
      <c r="I3" s="8" t="s">
        <v>1037</v>
      </c>
      <c r="J3" s="8" t="s">
        <v>1038</v>
      </c>
      <c r="K3" s="8" t="s">
        <v>1039</v>
      </c>
      <c r="L3" s="8" t="s">
        <v>1040</v>
      </c>
    </row>
    <row r="4" spans="1:12" x14ac:dyDescent="0.2">
      <c r="A4" s="83" t="s">
        <v>244</v>
      </c>
      <c r="B4" s="83" t="s">
        <v>1014</v>
      </c>
      <c r="C4" s="83" t="s">
        <v>1015</v>
      </c>
      <c r="D4" s="83" t="s">
        <v>1016</v>
      </c>
      <c r="E4" s="86">
        <f>objecturenhf1_1</f>
        <v>0</v>
      </c>
      <c r="F4" s="86">
        <f>objecturen1_1</f>
        <v>207</v>
      </c>
      <c r="G4" s="88">
        <f>objectprijs1_1</f>
        <v>0</v>
      </c>
      <c r="H4" s="86">
        <f>tzujt1_1</f>
        <v>0</v>
      </c>
      <c r="I4" s="88">
        <f>tzpjt1_1</f>
        <v>0</v>
      </c>
      <c r="J4" s="88">
        <f>G4+I4</f>
        <v>0</v>
      </c>
      <c r="K4" s="88">
        <f>J4/12</f>
        <v>0</v>
      </c>
      <c r="L4" s="88">
        <f>K4*1.21</f>
        <v>0</v>
      </c>
    </row>
    <row r="6" spans="1:12" x14ac:dyDescent="0.2">
      <c r="A6" s="43" t="s">
        <v>1041</v>
      </c>
      <c r="B6" s="44"/>
      <c r="C6" s="44"/>
      <c r="D6" s="44"/>
      <c r="E6" s="45">
        <f t="shared" ref="E6:L6" si="0">SUM(E4:E4)</f>
        <v>0</v>
      </c>
      <c r="F6" s="45">
        <f t="shared" si="0"/>
        <v>207</v>
      </c>
      <c r="G6" s="46">
        <f t="shared" si="0"/>
        <v>0</v>
      </c>
      <c r="H6" s="45">
        <f t="shared" si="0"/>
        <v>0</v>
      </c>
      <c r="I6" s="46">
        <f t="shared" si="0"/>
        <v>0</v>
      </c>
      <c r="J6" s="46">
        <f t="shared" si="0"/>
        <v>0</v>
      </c>
      <c r="K6" s="46">
        <f t="shared" si="0"/>
        <v>0</v>
      </c>
      <c r="L6" s="46">
        <f t="shared" si="0"/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9224-AC6B-4DD6-9596-163F2A1C45BE}">
  <dimension ref="A1:L3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1.7: ",tabeltype," additioneel werk")</f>
        <v>Bijlage 1.7: Invultabel additioneel werk</v>
      </c>
    </row>
    <row r="3" spans="1:12" ht="38.25" x14ac:dyDescent="0.2">
      <c r="A3" s="8" t="s">
        <v>1042</v>
      </c>
      <c r="B3" s="8" t="s">
        <v>7</v>
      </c>
      <c r="C3" s="8" t="s">
        <v>1043</v>
      </c>
      <c r="D3" s="8" t="s">
        <v>36</v>
      </c>
      <c r="E3" s="8" t="s">
        <v>39</v>
      </c>
      <c r="F3" s="8" t="s">
        <v>1044</v>
      </c>
      <c r="G3" s="8" t="s">
        <v>1045</v>
      </c>
      <c r="H3" s="8" t="s">
        <v>1046</v>
      </c>
      <c r="I3" s="8" t="s">
        <v>1047</v>
      </c>
      <c r="J3" s="8" t="s">
        <v>1048</v>
      </c>
      <c r="K3" s="8" t="s">
        <v>155</v>
      </c>
      <c r="L3" s="8" t="s">
        <v>1013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41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1049</v>
      </c>
      <c r="B6" s="15" t="s">
        <v>32</v>
      </c>
      <c r="C6" s="16">
        <f t="shared" ref="C6:C29" si="0">IF(ISBLANK(B6),0,IF(ISERROR(VALUE(B6)),VLOOKUP(B6,dagsoorttabel1,2,FALSE)*dagenperjaar1,VALUE(B6)))</f>
        <v>1</v>
      </c>
      <c r="D6" s="15" t="s">
        <v>1050</v>
      </c>
      <c r="E6" s="15" t="s">
        <v>1051</v>
      </c>
      <c r="F6" s="102">
        <v>40</v>
      </c>
      <c r="G6" s="19"/>
      <c r="H6" s="103"/>
      <c r="I6" s="19"/>
      <c r="J6" s="33">
        <f t="shared" ref="J6:J25" si="1">IF(ISBLANK(F6),0,F6)*I6</f>
        <v>0</v>
      </c>
      <c r="K6" s="33">
        <f t="shared" ref="K6:K29" si="2">C6*J6</f>
        <v>0</v>
      </c>
      <c r="L6" s="33">
        <f t="shared" ref="L6:L30" si="3">K6/12</f>
        <v>0</v>
      </c>
    </row>
    <row r="7" spans="1:12" x14ac:dyDescent="0.2">
      <c r="A7" s="20" t="s">
        <v>1052</v>
      </c>
      <c r="B7" s="20" t="s">
        <v>32</v>
      </c>
      <c r="C7" s="21">
        <f t="shared" si="0"/>
        <v>1</v>
      </c>
      <c r="D7" s="20" t="s">
        <v>1053</v>
      </c>
      <c r="E7" s="20" t="s">
        <v>1051</v>
      </c>
      <c r="F7" s="104">
        <v>75</v>
      </c>
      <c r="G7" s="24"/>
      <c r="H7" s="105"/>
      <c r="I7" s="24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1054</v>
      </c>
      <c r="B8" s="20" t="s">
        <v>32</v>
      </c>
      <c r="C8" s="21">
        <f t="shared" si="0"/>
        <v>1</v>
      </c>
      <c r="D8" s="20" t="s">
        <v>1055</v>
      </c>
      <c r="E8" s="20" t="s">
        <v>1051</v>
      </c>
      <c r="F8" s="104">
        <v>150</v>
      </c>
      <c r="G8" s="24"/>
      <c r="H8" s="105"/>
      <c r="I8" s="24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20" t="s">
        <v>1056</v>
      </c>
      <c r="B9" s="20" t="s">
        <v>32</v>
      </c>
      <c r="C9" s="21">
        <f t="shared" si="0"/>
        <v>1</v>
      </c>
      <c r="D9" s="20" t="s">
        <v>1057</v>
      </c>
      <c r="E9" s="20" t="s">
        <v>1051</v>
      </c>
      <c r="F9" s="104">
        <v>190</v>
      </c>
      <c r="G9" s="24"/>
      <c r="H9" s="105"/>
      <c r="I9" s="24"/>
      <c r="J9" s="37">
        <f t="shared" si="1"/>
        <v>0</v>
      </c>
      <c r="K9" s="37">
        <f t="shared" si="2"/>
        <v>0</v>
      </c>
      <c r="L9" s="37">
        <f t="shared" si="3"/>
        <v>0</v>
      </c>
    </row>
    <row r="10" spans="1:12" x14ac:dyDescent="0.2">
      <c r="A10" s="20" t="s">
        <v>1058</v>
      </c>
      <c r="B10" s="20" t="s">
        <v>32</v>
      </c>
      <c r="C10" s="21">
        <f t="shared" si="0"/>
        <v>1</v>
      </c>
      <c r="D10" s="20" t="s">
        <v>1059</v>
      </c>
      <c r="E10" s="20" t="s">
        <v>1051</v>
      </c>
      <c r="F10" s="104">
        <v>35</v>
      </c>
      <c r="G10" s="24"/>
      <c r="H10" s="105"/>
      <c r="I10" s="24"/>
      <c r="J10" s="37">
        <f t="shared" si="1"/>
        <v>0</v>
      </c>
      <c r="K10" s="37">
        <f t="shared" si="2"/>
        <v>0</v>
      </c>
      <c r="L10" s="37">
        <f t="shared" si="3"/>
        <v>0</v>
      </c>
    </row>
    <row r="11" spans="1:12" x14ac:dyDescent="0.2">
      <c r="A11" s="20" t="s">
        <v>1060</v>
      </c>
      <c r="B11" s="20" t="s">
        <v>32</v>
      </c>
      <c r="C11" s="21">
        <f t="shared" si="0"/>
        <v>1</v>
      </c>
      <c r="D11" s="20" t="s">
        <v>1061</v>
      </c>
      <c r="E11" s="20" t="s">
        <v>1051</v>
      </c>
      <c r="F11" s="104">
        <v>75</v>
      </c>
      <c r="G11" s="24"/>
      <c r="H11" s="105"/>
      <c r="I11" s="24"/>
      <c r="J11" s="37">
        <f t="shared" si="1"/>
        <v>0</v>
      </c>
      <c r="K11" s="37">
        <f t="shared" si="2"/>
        <v>0</v>
      </c>
      <c r="L11" s="37">
        <f t="shared" si="3"/>
        <v>0</v>
      </c>
    </row>
    <row r="12" spans="1:12" x14ac:dyDescent="0.2">
      <c r="A12" s="20" t="s">
        <v>1062</v>
      </c>
      <c r="B12" s="20" t="s">
        <v>32</v>
      </c>
      <c r="C12" s="21">
        <f t="shared" si="0"/>
        <v>1</v>
      </c>
      <c r="D12" s="20" t="s">
        <v>1063</v>
      </c>
      <c r="E12" s="20" t="s">
        <v>1051</v>
      </c>
      <c r="F12" s="104">
        <v>150</v>
      </c>
      <c r="G12" s="24"/>
      <c r="H12" s="105"/>
      <c r="I12" s="24"/>
      <c r="J12" s="37">
        <f t="shared" si="1"/>
        <v>0</v>
      </c>
      <c r="K12" s="37">
        <f t="shared" si="2"/>
        <v>0</v>
      </c>
      <c r="L12" s="37">
        <f t="shared" si="3"/>
        <v>0</v>
      </c>
    </row>
    <row r="13" spans="1:12" x14ac:dyDescent="0.2">
      <c r="A13" s="20" t="s">
        <v>1064</v>
      </c>
      <c r="B13" s="20" t="s">
        <v>32</v>
      </c>
      <c r="C13" s="21">
        <f t="shared" si="0"/>
        <v>1</v>
      </c>
      <c r="D13" s="20" t="s">
        <v>1065</v>
      </c>
      <c r="E13" s="20" t="s">
        <v>1051</v>
      </c>
      <c r="F13" s="104">
        <v>400</v>
      </c>
      <c r="G13" s="24"/>
      <c r="H13" s="105"/>
      <c r="I13" s="24"/>
      <c r="J13" s="37">
        <f t="shared" si="1"/>
        <v>0</v>
      </c>
      <c r="K13" s="37">
        <f t="shared" si="2"/>
        <v>0</v>
      </c>
      <c r="L13" s="37">
        <f t="shared" si="3"/>
        <v>0</v>
      </c>
    </row>
    <row r="14" spans="1:12" x14ac:dyDescent="0.2">
      <c r="A14" s="20" t="s">
        <v>1066</v>
      </c>
      <c r="B14" s="20" t="s">
        <v>32</v>
      </c>
      <c r="C14" s="21">
        <f t="shared" si="0"/>
        <v>1</v>
      </c>
      <c r="D14" s="20" t="s">
        <v>1067</v>
      </c>
      <c r="E14" s="20" t="s">
        <v>1051</v>
      </c>
      <c r="F14" s="104">
        <v>150</v>
      </c>
      <c r="G14" s="24"/>
      <c r="H14" s="105"/>
      <c r="I14" s="24"/>
      <c r="J14" s="37">
        <f t="shared" si="1"/>
        <v>0</v>
      </c>
      <c r="K14" s="37">
        <f t="shared" si="2"/>
        <v>0</v>
      </c>
      <c r="L14" s="37">
        <f t="shared" si="3"/>
        <v>0</v>
      </c>
    </row>
    <row r="15" spans="1:12" x14ac:dyDescent="0.2">
      <c r="A15" s="20" t="s">
        <v>1068</v>
      </c>
      <c r="B15" s="20" t="s">
        <v>32</v>
      </c>
      <c r="C15" s="21">
        <f t="shared" si="0"/>
        <v>1</v>
      </c>
      <c r="D15" s="20" t="s">
        <v>1069</v>
      </c>
      <c r="E15" s="20" t="s">
        <v>1051</v>
      </c>
      <c r="F15" s="104">
        <v>675</v>
      </c>
      <c r="G15" s="24"/>
      <c r="H15" s="105"/>
      <c r="I15" s="24"/>
      <c r="J15" s="37">
        <f t="shared" si="1"/>
        <v>0</v>
      </c>
      <c r="K15" s="37">
        <f t="shared" si="2"/>
        <v>0</v>
      </c>
      <c r="L15" s="37">
        <f t="shared" si="3"/>
        <v>0</v>
      </c>
    </row>
    <row r="16" spans="1:12" x14ac:dyDescent="0.2">
      <c r="A16" s="20" t="s">
        <v>1070</v>
      </c>
      <c r="B16" s="20" t="s">
        <v>32</v>
      </c>
      <c r="C16" s="21">
        <f t="shared" si="0"/>
        <v>1</v>
      </c>
      <c r="D16" s="20" t="s">
        <v>1071</v>
      </c>
      <c r="E16" s="20" t="s">
        <v>1051</v>
      </c>
      <c r="F16" s="104">
        <v>1200</v>
      </c>
      <c r="G16" s="24"/>
      <c r="H16" s="105"/>
      <c r="I16" s="24"/>
      <c r="J16" s="37">
        <f t="shared" si="1"/>
        <v>0</v>
      </c>
      <c r="K16" s="37">
        <f t="shared" si="2"/>
        <v>0</v>
      </c>
      <c r="L16" s="37">
        <f t="shared" si="3"/>
        <v>0</v>
      </c>
    </row>
    <row r="17" spans="1:12" x14ac:dyDescent="0.2">
      <c r="A17" s="20" t="s">
        <v>1072</v>
      </c>
      <c r="B17" s="20" t="s">
        <v>32</v>
      </c>
      <c r="C17" s="21">
        <f t="shared" si="0"/>
        <v>1</v>
      </c>
      <c r="D17" s="20" t="s">
        <v>1073</v>
      </c>
      <c r="E17" s="20" t="s">
        <v>1051</v>
      </c>
      <c r="F17" s="104">
        <v>1600</v>
      </c>
      <c r="G17" s="24"/>
      <c r="H17" s="105"/>
      <c r="I17" s="24"/>
      <c r="J17" s="37">
        <f t="shared" si="1"/>
        <v>0</v>
      </c>
      <c r="K17" s="37">
        <f t="shared" si="2"/>
        <v>0</v>
      </c>
      <c r="L17" s="37">
        <f t="shared" si="3"/>
        <v>0</v>
      </c>
    </row>
    <row r="18" spans="1:12" x14ac:dyDescent="0.2">
      <c r="A18" s="20" t="s">
        <v>1074</v>
      </c>
      <c r="B18" s="20" t="s">
        <v>32</v>
      </c>
      <c r="C18" s="21">
        <f t="shared" si="0"/>
        <v>1</v>
      </c>
      <c r="D18" s="20" t="s">
        <v>1075</v>
      </c>
      <c r="E18" s="20" t="s">
        <v>1051</v>
      </c>
      <c r="F18" s="104">
        <v>3</v>
      </c>
      <c r="G18" s="24"/>
      <c r="H18" s="105"/>
      <c r="I18" s="24"/>
      <c r="J18" s="37">
        <f t="shared" si="1"/>
        <v>0</v>
      </c>
      <c r="K18" s="37">
        <f t="shared" si="2"/>
        <v>0</v>
      </c>
      <c r="L18" s="37">
        <f t="shared" si="3"/>
        <v>0</v>
      </c>
    </row>
    <row r="19" spans="1:12" x14ac:dyDescent="0.2">
      <c r="A19" s="20" t="s">
        <v>1076</v>
      </c>
      <c r="B19" s="20" t="s">
        <v>32</v>
      </c>
      <c r="C19" s="21">
        <f t="shared" si="0"/>
        <v>1</v>
      </c>
      <c r="D19" s="20" t="s">
        <v>1077</v>
      </c>
      <c r="E19" s="20" t="s">
        <v>1051</v>
      </c>
      <c r="F19" s="104">
        <v>7</v>
      </c>
      <c r="G19" s="24"/>
      <c r="H19" s="105"/>
      <c r="I19" s="24"/>
      <c r="J19" s="37">
        <f t="shared" si="1"/>
        <v>0</v>
      </c>
      <c r="K19" s="37">
        <f t="shared" si="2"/>
        <v>0</v>
      </c>
      <c r="L19" s="37">
        <f t="shared" si="3"/>
        <v>0</v>
      </c>
    </row>
    <row r="20" spans="1:12" x14ac:dyDescent="0.2">
      <c r="A20" s="20" t="s">
        <v>1078</v>
      </c>
      <c r="B20" s="20" t="s">
        <v>32</v>
      </c>
      <c r="C20" s="21">
        <f t="shared" si="0"/>
        <v>1</v>
      </c>
      <c r="D20" s="20" t="s">
        <v>1079</v>
      </c>
      <c r="E20" s="20" t="s">
        <v>1051</v>
      </c>
      <c r="F20" s="104">
        <v>15</v>
      </c>
      <c r="G20" s="24"/>
      <c r="H20" s="105"/>
      <c r="I20" s="24"/>
      <c r="J20" s="37">
        <f t="shared" si="1"/>
        <v>0</v>
      </c>
      <c r="K20" s="37">
        <f t="shared" si="2"/>
        <v>0</v>
      </c>
      <c r="L20" s="37">
        <f t="shared" si="3"/>
        <v>0</v>
      </c>
    </row>
    <row r="21" spans="1:12" x14ac:dyDescent="0.2">
      <c r="A21" s="20" t="s">
        <v>1080</v>
      </c>
      <c r="B21" s="20" t="s">
        <v>32</v>
      </c>
      <c r="C21" s="21">
        <f t="shared" si="0"/>
        <v>1</v>
      </c>
      <c r="D21" s="20" t="s">
        <v>1081</v>
      </c>
      <c r="E21" s="20" t="s">
        <v>1051</v>
      </c>
      <c r="F21" s="104">
        <v>25</v>
      </c>
      <c r="G21" s="24"/>
      <c r="H21" s="105"/>
      <c r="I21" s="24"/>
      <c r="J21" s="37">
        <f t="shared" si="1"/>
        <v>0</v>
      </c>
      <c r="K21" s="37">
        <f t="shared" si="2"/>
        <v>0</v>
      </c>
      <c r="L21" s="37">
        <f t="shared" si="3"/>
        <v>0</v>
      </c>
    </row>
    <row r="22" spans="1:12" x14ac:dyDescent="0.2">
      <c r="A22" s="20" t="s">
        <v>1082</v>
      </c>
      <c r="B22" s="20" t="s">
        <v>32</v>
      </c>
      <c r="C22" s="21">
        <f t="shared" si="0"/>
        <v>1</v>
      </c>
      <c r="D22" s="20" t="s">
        <v>1083</v>
      </c>
      <c r="E22" s="20" t="s">
        <v>1051</v>
      </c>
      <c r="F22" s="104">
        <v>8</v>
      </c>
      <c r="G22" s="24"/>
      <c r="H22" s="105"/>
      <c r="I22" s="24"/>
      <c r="J22" s="37">
        <f t="shared" si="1"/>
        <v>0</v>
      </c>
      <c r="K22" s="37">
        <f t="shared" si="2"/>
        <v>0</v>
      </c>
      <c r="L22" s="37">
        <f t="shared" si="3"/>
        <v>0</v>
      </c>
    </row>
    <row r="23" spans="1:12" x14ac:dyDescent="0.2">
      <c r="A23" s="20" t="s">
        <v>1084</v>
      </c>
      <c r="B23" s="20" t="s">
        <v>32</v>
      </c>
      <c r="C23" s="21">
        <f t="shared" si="0"/>
        <v>1</v>
      </c>
      <c r="D23" s="20" t="s">
        <v>1085</v>
      </c>
      <c r="E23" s="20" t="s">
        <v>1051</v>
      </c>
      <c r="F23" s="104">
        <v>20</v>
      </c>
      <c r="G23" s="24"/>
      <c r="H23" s="105"/>
      <c r="I23" s="24"/>
      <c r="J23" s="37">
        <f t="shared" si="1"/>
        <v>0</v>
      </c>
      <c r="K23" s="37">
        <f t="shared" si="2"/>
        <v>0</v>
      </c>
      <c r="L23" s="37">
        <f t="shared" si="3"/>
        <v>0</v>
      </c>
    </row>
    <row r="24" spans="1:12" x14ac:dyDescent="0.2">
      <c r="A24" s="20" t="s">
        <v>1086</v>
      </c>
      <c r="B24" s="20" t="s">
        <v>32</v>
      </c>
      <c r="C24" s="21">
        <f t="shared" si="0"/>
        <v>1</v>
      </c>
      <c r="D24" s="20" t="s">
        <v>1087</v>
      </c>
      <c r="E24" s="20" t="s">
        <v>1051</v>
      </c>
      <c r="F24" s="104">
        <v>40</v>
      </c>
      <c r="G24" s="24"/>
      <c r="H24" s="105"/>
      <c r="I24" s="24"/>
      <c r="J24" s="37">
        <f t="shared" si="1"/>
        <v>0</v>
      </c>
      <c r="K24" s="37">
        <f t="shared" si="2"/>
        <v>0</v>
      </c>
      <c r="L24" s="37">
        <f t="shared" si="3"/>
        <v>0</v>
      </c>
    </row>
    <row r="25" spans="1:12" x14ac:dyDescent="0.2">
      <c r="A25" s="20" t="s">
        <v>1088</v>
      </c>
      <c r="B25" s="20" t="s">
        <v>32</v>
      </c>
      <c r="C25" s="21">
        <f t="shared" si="0"/>
        <v>1</v>
      </c>
      <c r="D25" s="20" t="s">
        <v>1089</v>
      </c>
      <c r="E25" s="20" t="s">
        <v>1051</v>
      </c>
      <c r="F25" s="104">
        <v>60</v>
      </c>
      <c r="G25" s="24"/>
      <c r="H25" s="105"/>
      <c r="I25" s="24"/>
      <c r="J25" s="37">
        <f t="shared" si="1"/>
        <v>0</v>
      </c>
      <c r="K25" s="37">
        <f t="shared" si="2"/>
        <v>0</v>
      </c>
      <c r="L25" s="37">
        <f t="shared" si="3"/>
        <v>0</v>
      </c>
    </row>
    <row r="26" spans="1:12" x14ac:dyDescent="0.2">
      <c r="A26" s="20" t="s">
        <v>1090</v>
      </c>
      <c r="B26" s="20" t="s">
        <v>32</v>
      </c>
      <c r="C26" s="21">
        <f t="shared" si="0"/>
        <v>1</v>
      </c>
      <c r="D26" s="20" t="s">
        <v>1091</v>
      </c>
      <c r="E26" s="20" t="s">
        <v>1092</v>
      </c>
      <c r="F26" s="104">
        <v>10439.300000000001</v>
      </c>
      <c r="G26" s="24"/>
      <c r="H26" s="22"/>
      <c r="I26" s="106"/>
      <c r="J26" s="37">
        <f>IF(ISBLANK(H26),0,F26 / H26 * G26)</f>
        <v>0</v>
      </c>
      <c r="K26" s="37">
        <f t="shared" si="2"/>
        <v>0</v>
      </c>
      <c r="L26" s="37">
        <f t="shared" si="3"/>
        <v>0</v>
      </c>
    </row>
    <row r="27" spans="1:12" x14ac:dyDescent="0.2">
      <c r="A27" s="20" t="s">
        <v>1093</v>
      </c>
      <c r="B27" s="20" t="s">
        <v>32</v>
      </c>
      <c r="C27" s="21">
        <f t="shared" si="0"/>
        <v>1</v>
      </c>
      <c r="D27" s="20" t="s">
        <v>1094</v>
      </c>
      <c r="E27" s="20" t="s">
        <v>1092</v>
      </c>
      <c r="F27" s="104">
        <v>4735.5</v>
      </c>
      <c r="G27" s="24"/>
      <c r="H27" s="22"/>
      <c r="I27" s="106"/>
      <c r="J27" s="37">
        <f>IF(ISBLANK(H27),0,F27 / H27 * G27)</f>
        <v>0</v>
      </c>
      <c r="K27" s="37">
        <f t="shared" si="2"/>
        <v>0</v>
      </c>
      <c r="L27" s="37">
        <f t="shared" si="3"/>
        <v>0</v>
      </c>
    </row>
    <row r="28" spans="1:12" x14ac:dyDescent="0.2">
      <c r="A28" s="20" t="s">
        <v>1095</v>
      </c>
      <c r="B28" s="20" t="s">
        <v>32</v>
      </c>
      <c r="C28" s="21">
        <f t="shared" si="0"/>
        <v>1</v>
      </c>
      <c r="D28" s="20" t="s">
        <v>1096</v>
      </c>
      <c r="E28" s="20" t="s">
        <v>1092</v>
      </c>
      <c r="F28" s="104">
        <v>2015.3000000000002</v>
      </c>
      <c r="G28" s="24"/>
      <c r="H28" s="22"/>
      <c r="I28" s="106"/>
      <c r="J28" s="37">
        <f>IF(ISBLANK(H28),0,F28 / H28 * G28)</f>
        <v>0</v>
      </c>
      <c r="K28" s="37">
        <f t="shared" si="2"/>
        <v>0</v>
      </c>
      <c r="L28" s="37">
        <f t="shared" si="3"/>
        <v>0</v>
      </c>
    </row>
    <row r="29" spans="1:12" x14ac:dyDescent="0.2">
      <c r="A29" s="25" t="s">
        <v>1097</v>
      </c>
      <c r="B29" s="25" t="s">
        <v>32</v>
      </c>
      <c r="C29" s="26">
        <f t="shared" si="0"/>
        <v>1</v>
      </c>
      <c r="D29" s="25" t="s">
        <v>1098</v>
      </c>
      <c r="E29" s="25" t="s">
        <v>1092</v>
      </c>
      <c r="F29" s="107">
        <v>1031.3600000000001</v>
      </c>
      <c r="G29" s="29"/>
      <c r="H29" s="27"/>
      <c r="I29" s="108"/>
      <c r="J29" s="41">
        <f>IF(ISBLANK(H29),0,F29 / H29 * G29)</f>
        <v>0</v>
      </c>
      <c r="K29" s="41">
        <f t="shared" si="2"/>
        <v>0</v>
      </c>
      <c r="L29" s="41">
        <f t="shared" si="3"/>
        <v>0</v>
      </c>
    </row>
    <row r="30" spans="1:12" x14ac:dyDescent="0.2">
      <c r="A30" s="43" t="s">
        <v>231</v>
      </c>
      <c r="B30" s="44"/>
      <c r="C30" s="44"/>
      <c r="D30" s="44"/>
      <c r="E30" s="44"/>
      <c r="F30" s="44"/>
      <c r="G30" s="44"/>
      <c r="H30" s="44"/>
      <c r="I30" s="44"/>
      <c r="J30" s="44"/>
      <c r="K30" s="46">
        <f>SUM(K6:K29)</f>
        <v>0</v>
      </c>
      <c r="L30" s="109">
        <f t="shared" si="3"/>
        <v>0</v>
      </c>
    </row>
    <row r="32" spans="1:12" x14ac:dyDescent="0.2">
      <c r="A32" s="43" t="s">
        <v>1099</v>
      </c>
      <c r="B32" s="44"/>
      <c r="C32" s="44"/>
      <c r="D32" s="44"/>
      <c r="E32" s="44"/>
      <c r="F32" s="44"/>
      <c r="G32" s="44"/>
      <c r="H32" s="44"/>
      <c r="I32" s="44"/>
      <c r="J32" s="44"/>
      <c r="K32" s="46">
        <f>prijsjaaradditioneel1</f>
        <v>0</v>
      </c>
      <c r="L32" s="109">
        <f>K32/12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16-11-2023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690</vt:i4>
      </vt:variant>
    </vt:vector>
  </HeadingPairs>
  <TitlesOfParts>
    <vt:vector size="704" baseType="lpstr">
      <vt:lpstr>Omreken</vt:lpstr>
      <vt:lpstr>Categorienormen</vt:lpstr>
      <vt:lpstr>Regulier werk</vt:lpstr>
      <vt:lpstr>Ruimten werkdag</vt:lpstr>
      <vt:lpstr>Objectinformatie</vt:lpstr>
      <vt:lpstr>Objecten</vt:lpstr>
      <vt:lpstr>Niet-meewerkende objectleiding</vt:lpstr>
      <vt:lpstr>Totaalblad Objecten</vt:lpstr>
      <vt:lpstr>Additioneel werk</vt:lpstr>
      <vt:lpstr>Afroep</vt:lpstr>
      <vt:lpstr>Afroep incidenteel</vt:lpstr>
      <vt:lpstr>Regiewerk</vt:lpstr>
      <vt:lpstr>Glas</vt:lpstr>
      <vt:lpstr>Totaal</vt:lpstr>
      <vt:lpstr>'Additioneel werk'!Afdruktitels</vt:lpstr>
      <vt:lpstr>Afroep!Afdruktitels</vt:lpstr>
      <vt:lpstr>'Afroep incidenteel'!Afdruktitels</vt:lpstr>
      <vt:lpstr>Categorienormen!Afdruktitels</vt:lpstr>
      <vt:lpstr>Glas!Afdruktitels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Totaal!Afdruktitels</vt:lpstr>
      <vt:lpstr>'Totaalblad Objecten'!Afdruktitels</vt:lpstr>
      <vt:lpstr>catdw_1_AHV_12</vt:lpstr>
      <vt:lpstr>catdw_1_AHV_2</vt:lpstr>
      <vt:lpstr>catdw_1_AHV_6</vt:lpstr>
      <vt:lpstr>catdw_1_AZB_1</vt:lpstr>
      <vt:lpstr>catdw_1_AZV_46</vt:lpstr>
      <vt:lpstr>catdw_1_BHB_1</vt:lpstr>
      <vt:lpstr>catdw_1_BHV_46</vt:lpstr>
      <vt:lpstr>catdw_1_BHV_51</vt:lpstr>
      <vt:lpstr>catdw_1_BZB_1</vt:lpstr>
      <vt:lpstr>catdw_1_BZV_46</vt:lpstr>
      <vt:lpstr>catdw_1_BZV_51</vt:lpstr>
      <vt:lpstr>catdw_1_CHB_1</vt:lpstr>
      <vt:lpstr>catdw_1_CHV_46</vt:lpstr>
      <vt:lpstr>catdw_1_CZB_1</vt:lpstr>
      <vt:lpstr>catdw_1_CZV_46</vt:lpstr>
      <vt:lpstr>catdw_1_DHB_1</vt:lpstr>
      <vt:lpstr>catdw_1_DHV_46</vt:lpstr>
      <vt:lpstr>catdw_1_EHB_1</vt:lpstr>
      <vt:lpstr>catdw_1_EHV_46</vt:lpstr>
      <vt:lpstr>catdw_1_EZB_1</vt:lpstr>
      <vt:lpstr>catdw_1_EZV_46</vt:lpstr>
      <vt:lpstr>catdw_1_FHB_1</vt:lpstr>
      <vt:lpstr>catdw_1_FHV_51</vt:lpstr>
      <vt:lpstr>catdw_1_GHB_1</vt:lpstr>
      <vt:lpstr>catdw_1_GHV_46</vt:lpstr>
      <vt:lpstr>catdw_1_HHB_1</vt:lpstr>
      <vt:lpstr>catdw_1_HHV_46</vt:lpstr>
      <vt:lpstr>catdw_1_IHB_1</vt:lpstr>
      <vt:lpstr>catdw_1_IHV_46</vt:lpstr>
      <vt:lpstr>catdw_1_IHV_51</vt:lpstr>
      <vt:lpstr>catdw_1_KHB_1</vt:lpstr>
      <vt:lpstr>catdw_1_KHV_46</vt:lpstr>
      <vt:lpstr>catdw_1_MHB_1</vt:lpstr>
      <vt:lpstr>catdw_1_MHV_46</vt:lpstr>
      <vt:lpstr>catdw_1_OHB_1</vt:lpstr>
      <vt:lpstr>catdw_1_OHV_46</vt:lpstr>
      <vt:lpstr>catdw_1_OHV_51</vt:lpstr>
      <vt:lpstr>catdw_1_OZB_1</vt:lpstr>
      <vt:lpstr>catdw_1_OZV_51</vt:lpstr>
      <vt:lpstr>catdw_1_PAHB_1</vt:lpstr>
      <vt:lpstr>catdw_1_PAHV_46</vt:lpstr>
      <vt:lpstr>catdw_1_PHB_1</vt:lpstr>
      <vt:lpstr>catdw_1_PHV_46</vt:lpstr>
      <vt:lpstr>catdw_1_PHV_51</vt:lpstr>
      <vt:lpstr>catdw_1_RHB_1</vt:lpstr>
      <vt:lpstr>catdw_1_RHV_46</vt:lpstr>
      <vt:lpstr>catdw_1_RRHB_1</vt:lpstr>
      <vt:lpstr>catdw_1_RRHV_46</vt:lpstr>
      <vt:lpstr>catdw_1_RRZB_1</vt:lpstr>
      <vt:lpstr>catdw_1_RRZV_46</vt:lpstr>
      <vt:lpstr>catdw_1_SHB_1</vt:lpstr>
      <vt:lpstr>catdw_1_SHV_46</vt:lpstr>
      <vt:lpstr>catdw_1_SHV_51</vt:lpstr>
      <vt:lpstr>catdw_1_THB_1</vt:lpstr>
      <vt:lpstr>catdw_1_THV_46</vt:lpstr>
      <vt:lpstr>catdw_1_THV_51</vt:lpstr>
      <vt:lpstr>catdw_1_VHB_1</vt:lpstr>
      <vt:lpstr>catdw_1_VHV_1</vt:lpstr>
      <vt:lpstr>catdw_1_VHV_26</vt:lpstr>
      <vt:lpstr>catdw_1_VHV_46</vt:lpstr>
      <vt:lpstr>catdw_1_VHV_51</vt:lpstr>
      <vt:lpstr>catdw_1_WPHB_1</vt:lpstr>
      <vt:lpstr>catdw_1_WPHV_46</vt:lpstr>
      <vt:lpstr>catdw_1_WPHV_51</vt:lpstr>
      <vt:lpstr>catdw_1_WPHV_6</vt:lpstr>
      <vt:lpstr>catfd_1_AHV_12</vt:lpstr>
      <vt:lpstr>catfd_1_AHV_2</vt:lpstr>
      <vt:lpstr>catfd_1_AHV_6</vt:lpstr>
      <vt:lpstr>catfd_1_AZB_1</vt:lpstr>
      <vt:lpstr>catfd_1_AZV_46</vt:lpstr>
      <vt:lpstr>catfd_1_BHB_1</vt:lpstr>
      <vt:lpstr>catfd_1_BHV_46</vt:lpstr>
      <vt:lpstr>catfd_1_BHV_51</vt:lpstr>
      <vt:lpstr>catfd_1_BZB_1</vt:lpstr>
      <vt:lpstr>catfd_1_BZV_46</vt:lpstr>
      <vt:lpstr>catfd_1_BZV_51</vt:lpstr>
      <vt:lpstr>catfd_1_CHB_1</vt:lpstr>
      <vt:lpstr>catfd_1_CHV_46</vt:lpstr>
      <vt:lpstr>catfd_1_CZB_1</vt:lpstr>
      <vt:lpstr>catfd_1_CZV_46</vt:lpstr>
      <vt:lpstr>catfd_1_DHB_1</vt:lpstr>
      <vt:lpstr>catfd_1_DHV_46</vt:lpstr>
      <vt:lpstr>catfd_1_EHB_1</vt:lpstr>
      <vt:lpstr>catfd_1_EHV_46</vt:lpstr>
      <vt:lpstr>catfd_1_EZB_1</vt:lpstr>
      <vt:lpstr>catfd_1_EZV_46</vt:lpstr>
      <vt:lpstr>catfd_1_FHB_1</vt:lpstr>
      <vt:lpstr>catfd_1_FHV_51</vt:lpstr>
      <vt:lpstr>catfd_1_GHB_1</vt:lpstr>
      <vt:lpstr>catfd_1_GHV_46</vt:lpstr>
      <vt:lpstr>catfd_1_HHB_1</vt:lpstr>
      <vt:lpstr>catfd_1_HHV_46</vt:lpstr>
      <vt:lpstr>catfd_1_IHB_1</vt:lpstr>
      <vt:lpstr>catfd_1_IHV_46</vt:lpstr>
      <vt:lpstr>catfd_1_IHV_51</vt:lpstr>
      <vt:lpstr>catfd_1_KHB_1</vt:lpstr>
      <vt:lpstr>catfd_1_KHV_46</vt:lpstr>
      <vt:lpstr>catfd_1_MHB_1</vt:lpstr>
      <vt:lpstr>catfd_1_MHV_46</vt:lpstr>
      <vt:lpstr>catfd_1_OHB_1</vt:lpstr>
      <vt:lpstr>catfd_1_OHV_46</vt:lpstr>
      <vt:lpstr>catfd_1_OHV_51</vt:lpstr>
      <vt:lpstr>catfd_1_OZB_1</vt:lpstr>
      <vt:lpstr>catfd_1_OZV_51</vt:lpstr>
      <vt:lpstr>catfd_1_PAHB_1</vt:lpstr>
      <vt:lpstr>catfd_1_PAHV_46</vt:lpstr>
      <vt:lpstr>catfd_1_PHB_1</vt:lpstr>
      <vt:lpstr>catfd_1_PHV_46</vt:lpstr>
      <vt:lpstr>catfd_1_PHV_51</vt:lpstr>
      <vt:lpstr>catfd_1_RHB_1</vt:lpstr>
      <vt:lpstr>catfd_1_RHV_46</vt:lpstr>
      <vt:lpstr>catfd_1_RRHB_1</vt:lpstr>
      <vt:lpstr>catfd_1_RRHV_46</vt:lpstr>
      <vt:lpstr>catfd_1_RRZB_1</vt:lpstr>
      <vt:lpstr>catfd_1_RRZV_46</vt:lpstr>
      <vt:lpstr>catfd_1_SHB_1</vt:lpstr>
      <vt:lpstr>catfd_1_SHV_46</vt:lpstr>
      <vt:lpstr>catfd_1_SHV_51</vt:lpstr>
      <vt:lpstr>catfd_1_THB_1</vt:lpstr>
      <vt:lpstr>catfd_1_THV_46</vt:lpstr>
      <vt:lpstr>catfd_1_THV_51</vt:lpstr>
      <vt:lpstr>catfd_1_VHB_1</vt:lpstr>
      <vt:lpstr>catfd_1_VHV_1</vt:lpstr>
      <vt:lpstr>catfd_1_VHV_26</vt:lpstr>
      <vt:lpstr>catfd_1_VHV_46</vt:lpstr>
      <vt:lpstr>catfd_1_VHV_51</vt:lpstr>
      <vt:lpstr>catfd_1_WPHB_1</vt:lpstr>
      <vt:lpstr>catfd_1_WPHV_46</vt:lpstr>
      <vt:lpstr>catfd_1_WPHV_51</vt:lpstr>
      <vt:lpstr>catfd_1_WPHV_6</vt:lpstr>
      <vt:lpstr>catpn_1_AHV_12</vt:lpstr>
      <vt:lpstr>catpn_1_AHV_2</vt:lpstr>
      <vt:lpstr>catpn_1_AHV_6</vt:lpstr>
      <vt:lpstr>catpn_1_AZB_1</vt:lpstr>
      <vt:lpstr>catpn_1_AZV_46</vt:lpstr>
      <vt:lpstr>catpn_1_BHB_1</vt:lpstr>
      <vt:lpstr>catpn_1_BHV_46</vt:lpstr>
      <vt:lpstr>catpn_1_BHV_51</vt:lpstr>
      <vt:lpstr>catpn_1_BZB_1</vt:lpstr>
      <vt:lpstr>catpn_1_BZV_46</vt:lpstr>
      <vt:lpstr>catpn_1_BZV_51</vt:lpstr>
      <vt:lpstr>catpn_1_CHB_1</vt:lpstr>
      <vt:lpstr>catpn_1_CHV_46</vt:lpstr>
      <vt:lpstr>catpn_1_CZB_1</vt:lpstr>
      <vt:lpstr>catpn_1_CZV_46</vt:lpstr>
      <vt:lpstr>catpn_1_DHB_1</vt:lpstr>
      <vt:lpstr>catpn_1_DHV_46</vt:lpstr>
      <vt:lpstr>catpn_1_EHB_1</vt:lpstr>
      <vt:lpstr>catpn_1_EHV_46</vt:lpstr>
      <vt:lpstr>catpn_1_EZB_1</vt:lpstr>
      <vt:lpstr>catpn_1_EZV_46</vt:lpstr>
      <vt:lpstr>catpn_1_FHB_1</vt:lpstr>
      <vt:lpstr>catpn_1_FHV_51</vt:lpstr>
      <vt:lpstr>catpn_1_GHB_1</vt:lpstr>
      <vt:lpstr>catpn_1_GHV_46</vt:lpstr>
      <vt:lpstr>catpn_1_HHB_1</vt:lpstr>
      <vt:lpstr>catpn_1_HHV_46</vt:lpstr>
      <vt:lpstr>catpn_1_IHB_1</vt:lpstr>
      <vt:lpstr>catpn_1_IHV_46</vt:lpstr>
      <vt:lpstr>catpn_1_IHV_51</vt:lpstr>
      <vt:lpstr>catpn_1_KHB_1</vt:lpstr>
      <vt:lpstr>catpn_1_KHV_46</vt:lpstr>
      <vt:lpstr>catpn_1_MHB_1</vt:lpstr>
      <vt:lpstr>catpn_1_MHV_46</vt:lpstr>
      <vt:lpstr>catpn_1_OHB_1</vt:lpstr>
      <vt:lpstr>catpn_1_OHV_46</vt:lpstr>
      <vt:lpstr>catpn_1_OHV_51</vt:lpstr>
      <vt:lpstr>catpn_1_OZB_1</vt:lpstr>
      <vt:lpstr>catpn_1_OZV_51</vt:lpstr>
      <vt:lpstr>catpn_1_PAHB_1</vt:lpstr>
      <vt:lpstr>catpn_1_PAHV_46</vt:lpstr>
      <vt:lpstr>catpn_1_PHB_1</vt:lpstr>
      <vt:lpstr>catpn_1_PHV_46</vt:lpstr>
      <vt:lpstr>catpn_1_PHV_51</vt:lpstr>
      <vt:lpstr>catpn_1_RHB_1</vt:lpstr>
      <vt:lpstr>catpn_1_RHV_46</vt:lpstr>
      <vt:lpstr>catpn_1_RRHB_1</vt:lpstr>
      <vt:lpstr>catpn_1_RRHV_46</vt:lpstr>
      <vt:lpstr>catpn_1_RRZB_1</vt:lpstr>
      <vt:lpstr>catpn_1_RRZV_46</vt:lpstr>
      <vt:lpstr>catpn_1_SHB_1</vt:lpstr>
      <vt:lpstr>catpn_1_SHV_46</vt:lpstr>
      <vt:lpstr>catpn_1_SHV_51</vt:lpstr>
      <vt:lpstr>catpn_1_THB_1</vt:lpstr>
      <vt:lpstr>catpn_1_THV_46</vt:lpstr>
      <vt:lpstr>catpn_1_THV_51</vt:lpstr>
      <vt:lpstr>catpn_1_VHB_1</vt:lpstr>
      <vt:lpstr>catpn_1_VHV_1</vt:lpstr>
      <vt:lpstr>catpn_1_VHV_26</vt:lpstr>
      <vt:lpstr>catpn_1_VHV_46</vt:lpstr>
      <vt:lpstr>catpn_1_VHV_51</vt:lpstr>
      <vt:lpstr>catpn_1_WPHB_1</vt:lpstr>
      <vt:lpstr>catpn_1_WPHV_46</vt:lpstr>
      <vt:lpstr>catpn_1_WPHV_51</vt:lpstr>
      <vt:lpstr>catpn_1_WPHV_6</vt:lpstr>
      <vt:lpstr>cattf_1_AHV_12</vt:lpstr>
      <vt:lpstr>cattf_1_AHV_2</vt:lpstr>
      <vt:lpstr>cattf_1_AHV_6</vt:lpstr>
      <vt:lpstr>cattf_1_AZB_1</vt:lpstr>
      <vt:lpstr>cattf_1_AZV_46</vt:lpstr>
      <vt:lpstr>cattf_1_BHB_1</vt:lpstr>
      <vt:lpstr>cattf_1_BHV_46</vt:lpstr>
      <vt:lpstr>cattf_1_BHV_51</vt:lpstr>
      <vt:lpstr>cattf_1_BZB_1</vt:lpstr>
      <vt:lpstr>cattf_1_BZV_46</vt:lpstr>
      <vt:lpstr>cattf_1_BZV_51</vt:lpstr>
      <vt:lpstr>cattf_1_CHB_1</vt:lpstr>
      <vt:lpstr>cattf_1_CHV_46</vt:lpstr>
      <vt:lpstr>cattf_1_CZB_1</vt:lpstr>
      <vt:lpstr>cattf_1_CZV_46</vt:lpstr>
      <vt:lpstr>cattf_1_DHB_1</vt:lpstr>
      <vt:lpstr>cattf_1_DHV_46</vt:lpstr>
      <vt:lpstr>cattf_1_EHB_1</vt:lpstr>
      <vt:lpstr>cattf_1_EHV_46</vt:lpstr>
      <vt:lpstr>cattf_1_EZB_1</vt:lpstr>
      <vt:lpstr>cattf_1_EZV_46</vt:lpstr>
      <vt:lpstr>cattf_1_FHB_1</vt:lpstr>
      <vt:lpstr>cattf_1_FHV_51</vt:lpstr>
      <vt:lpstr>cattf_1_GHB_1</vt:lpstr>
      <vt:lpstr>cattf_1_GHV_46</vt:lpstr>
      <vt:lpstr>cattf_1_HHB_1</vt:lpstr>
      <vt:lpstr>cattf_1_HHV_46</vt:lpstr>
      <vt:lpstr>cattf_1_IHB_1</vt:lpstr>
      <vt:lpstr>cattf_1_IHV_46</vt:lpstr>
      <vt:lpstr>cattf_1_IHV_51</vt:lpstr>
      <vt:lpstr>cattf_1_KHB_1</vt:lpstr>
      <vt:lpstr>cattf_1_KHV_46</vt:lpstr>
      <vt:lpstr>cattf_1_MHB_1</vt:lpstr>
      <vt:lpstr>cattf_1_MHV_46</vt:lpstr>
      <vt:lpstr>cattf_1_OHB_1</vt:lpstr>
      <vt:lpstr>cattf_1_OHV_46</vt:lpstr>
      <vt:lpstr>cattf_1_OHV_51</vt:lpstr>
      <vt:lpstr>cattf_1_OZB_1</vt:lpstr>
      <vt:lpstr>cattf_1_OZV_51</vt:lpstr>
      <vt:lpstr>cattf_1_PAHB_1</vt:lpstr>
      <vt:lpstr>cattf_1_PAHV_46</vt:lpstr>
      <vt:lpstr>cattf_1_PHB_1</vt:lpstr>
      <vt:lpstr>cattf_1_PHV_46</vt:lpstr>
      <vt:lpstr>cattf_1_PHV_51</vt:lpstr>
      <vt:lpstr>cattf_1_RHB_1</vt:lpstr>
      <vt:lpstr>cattf_1_RHV_46</vt:lpstr>
      <vt:lpstr>cattf_1_RRHB_1</vt:lpstr>
      <vt:lpstr>cattf_1_RRHV_46</vt:lpstr>
      <vt:lpstr>cattf_1_RRZB_1</vt:lpstr>
      <vt:lpstr>cattf_1_RRZV_46</vt:lpstr>
      <vt:lpstr>cattf_1_SHB_1</vt:lpstr>
      <vt:lpstr>cattf_1_SHV_46</vt:lpstr>
      <vt:lpstr>cattf_1_SHV_51</vt:lpstr>
      <vt:lpstr>cattf_1_THB_1</vt:lpstr>
      <vt:lpstr>cattf_1_THV_46</vt:lpstr>
      <vt:lpstr>cattf_1_THV_51</vt:lpstr>
      <vt:lpstr>cattf_1_VHB_1</vt:lpstr>
      <vt:lpstr>cattf_1_VHV_1</vt:lpstr>
      <vt:lpstr>cattf_1_VHV_26</vt:lpstr>
      <vt:lpstr>cattf_1_VHV_46</vt:lpstr>
      <vt:lpstr>cattf_1_VHV_51</vt:lpstr>
      <vt:lpstr>cattf_1_WPHB_1</vt:lpstr>
      <vt:lpstr>cattf_1_WPHV_46</vt:lpstr>
      <vt:lpstr>cattf_1_WPHV_51</vt:lpstr>
      <vt:lpstr>cattf_1_WPHV_6</vt:lpstr>
      <vt:lpstr>dagenperjaar1</vt:lpstr>
      <vt:lpstr>dagenperweek1</vt:lpstr>
      <vt:lpstr>dagsoorttabel1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dagwerk50</vt:lpstr>
      <vt:lpstr>dagwerk51</vt:lpstr>
      <vt:lpstr>dagwerk52</vt:lpstr>
      <vt:lpstr>dagwerk53</vt:lpstr>
      <vt:lpstr>dagwerk54</vt:lpstr>
      <vt:lpstr>dagwerk55</vt:lpstr>
      <vt:lpstr>dagwerk56</vt:lpstr>
      <vt:lpstr>dagwerk57</vt:lpstr>
      <vt:lpstr>dagwerk58</vt:lpstr>
      <vt:lpstr>dagwerk59</vt:lpstr>
      <vt:lpstr>dagwerk60</vt:lpstr>
      <vt:lpstr>dagwerk61</vt:lpstr>
      <vt:lpstr>dagwerk62</vt:lpstr>
      <vt:lpstr>dagwerk63</vt:lpstr>
      <vt:lpstr>dagwerk64</vt:lpstr>
      <vt:lpstr>dagwerk65</vt:lpstr>
      <vt:lpstr>dagwerk66</vt:lpstr>
      <vt:lpstr>dagwerk67</vt:lpstr>
      <vt:lpstr>dagwerk68</vt:lpstr>
      <vt:lpstr>dagwerk69</vt:lpstr>
      <vt:lpstr>dagwerk70</vt:lpstr>
      <vt:lpstr>dagwerk71</vt:lpstr>
      <vt:lpstr>dagwerk72</vt:lpstr>
      <vt:lpstr>dagwerk73</vt:lpstr>
      <vt:lpstr>dagwerk74</vt:lpstr>
      <vt:lpstr>dagwerk75</vt:lpstr>
      <vt:lpstr>dagwerk76</vt:lpstr>
      <vt:lpstr>dagwerk77</vt:lpstr>
      <vt:lpstr>dagwerk78</vt:lpstr>
      <vt:lpstr>dagwerk79</vt:lpstr>
      <vt:lpstr>dagwerk80</vt:lpstr>
      <vt:lpstr>dagwerk81</vt:lpstr>
      <vt:lpstr>dagwerk82</vt:lpstr>
      <vt:lpstr>dagwerk83</vt:lpstr>
      <vt:lpstr>dagwerk84</vt:lpstr>
      <vt:lpstr>dagwerk85</vt:lpstr>
      <vt:lpstr>dagwerk86</vt:lpstr>
      <vt:lpstr>dagwerk87</vt:lpstr>
      <vt:lpstr>dagwerk88</vt:lpstr>
      <vt:lpstr>dagwerk89</vt:lpstr>
      <vt:lpstr>dagwerk90</vt:lpstr>
      <vt:lpstr>dagwerk91</vt:lpstr>
      <vt:lpstr>dagwerk92</vt:lpstr>
      <vt:lpstr>dagwerk93</vt:lpstr>
      <vt:lpstr>dagwerk94</vt:lpstr>
      <vt:lpstr>dagwerk95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objectprijs1_1</vt:lpstr>
      <vt:lpstr>objecturen1_1</vt:lpstr>
      <vt:lpstr>objecturenhf1_1</vt:lpstr>
      <vt:lpstr>prijsdag1</vt:lpstr>
      <vt:lpstr>prijsjaar</vt:lpstr>
      <vt:lpstr>prijsjaar1</vt:lpstr>
      <vt:lpstr>prijsjaaradditioneel</vt:lpstr>
      <vt:lpstr>prijsjaaradditioneel1</vt:lpstr>
      <vt:lpstr>prijsjaarafroep</vt:lpstr>
      <vt:lpstr>prijsjaarafroep1</vt:lpstr>
      <vt:lpstr>prijsjaarafroep2</vt:lpstr>
      <vt:lpstr>prijsjaarafroep3</vt:lpstr>
      <vt:lpstr>prijsjaarglas</vt:lpstr>
      <vt:lpstr>prijsjaarglas1</vt:lpstr>
      <vt:lpstr>prijsjaarnietmeewerkend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prodnorm0</vt:lpstr>
      <vt:lpstr>prodnorm10</vt:lpstr>
      <vt:lpstr>prodnorm100</vt:lpstr>
      <vt:lpstr>prodnorm101</vt:lpstr>
      <vt:lpstr>prodnorm102</vt:lpstr>
      <vt:lpstr>prodnorm103</vt:lpstr>
      <vt:lpstr>prodnorm104</vt:lpstr>
      <vt:lpstr>prodnorm105</vt:lpstr>
      <vt:lpstr>prodnorm106</vt:lpstr>
      <vt:lpstr>prodnorm107</vt:lpstr>
      <vt:lpstr>prodnorm108</vt:lpstr>
      <vt:lpstr>prodnorm109</vt:lpstr>
      <vt:lpstr>prodnorm11</vt:lpstr>
      <vt:lpstr>prodnorm110</vt:lpstr>
      <vt:lpstr>prodnorm111</vt:lpstr>
      <vt:lpstr>prodnorm112</vt:lpstr>
      <vt:lpstr>prodnorm113</vt:lpstr>
      <vt:lpstr>prodnorm114</vt:lpstr>
      <vt:lpstr>prodnorm115</vt:lpstr>
      <vt:lpstr>prodnorm116</vt:lpstr>
      <vt:lpstr>prodnorm117</vt:lpstr>
      <vt:lpstr>prodnorm118</vt:lpstr>
      <vt:lpstr>prodnorm119</vt:lpstr>
      <vt:lpstr>prodnorm12</vt:lpstr>
      <vt:lpstr>prodnorm120</vt:lpstr>
      <vt:lpstr>prodnorm121</vt:lpstr>
      <vt:lpstr>prodnorm122</vt:lpstr>
      <vt:lpstr>prodnorm123</vt:lpstr>
      <vt:lpstr>prodnorm124</vt:lpstr>
      <vt:lpstr>prodnorm125</vt:lpstr>
      <vt:lpstr>prodnorm126</vt:lpstr>
      <vt:lpstr>prodnorm127</vt:lpstr>
      <vt:lpstr>prodnorm128</vt:lpstr>
      <vt:lpstr>prodnorm129</vt:lpstr>
      <vt:lpstr>prodnorm13</vt:lpstr>
      <vt:lpstr>prodnorm130</vt:lpstr>
      <vt:lpstr>prodnorm131</vt:lpstr>
      <vt:lpstr>prodnorm132</vt:lpstr>
      <vt:lpstr>prodnorm133</vt:lpstr>
      <vt:lpstr>prodnorm134</vt:lpstr>
      <vt:lpstr>prodnorm135</vt:lpstr>
      <vt:lpstr>prodnorm136</vt:lpstr>
      <vt:lpstr>prodnorm137</vt:lpstr>
      <vt:lpstr>prodnorm138</vt:lpstr>
      <vt:lpstr>prodnorm139</vt:lpstr>
      <vt:lpstr>prodnorm14</vt:lpstr>
      <vt:lpstr>prodnorm140</vt:lpstr>
      <vt:lpstr>prodnorm141</vt:lpstr>
      <vt:lpstr>prodnorm142</vt:lpstr>
      <vt:lpstr>prodnorm143</vt:lpstr>
      <vt:lpstr>prodnorm144</vt:lpstr>
      <vt:lpstr>prodnorm145</vt:lpstr>
      <vt:lpstr>prodnorm146</vt:lpstr>
      <vt:lpstr>prodnorm147</vt:lpstr>
      <vt:lpstr>prodnorm148</vt:lpstr>
      <vt:lpstr>prodnorm149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prodnorm63</vt:lpstr>
      <vt:lpstr>prodnorm64</vt:lpstr>
      <vt:lpstr>prodnorm65</vt:lpstr>
      <vt:lpstr>prodnorm66</vt:lpstr>
      <vt:lpstr>prodnorm67</vt:lpstr>
      <vt:lpstr>prodnorm68</vt:lpstr>
      <vt:lpstr>prodnorm69</vt:lpstr>
      <vt:lpstr>prodnorm7</vt:lpstr>
      <vt:lpstr>prodnorm70</vt:lpstr>
      <vt:lpstr>prodnorm71</vt:lpstr>
      <vt:lpstr>prodnorm72</vt:lpstr>
      <vt:lpstr>prodnorm73</vt:lpstr>
      <vt:lpstr>prodnorm74</vt:lpstr>
      <vt:lpstr>prodnorm75</vt:lpstr>
      <vt:lpstr>prodnorm76</vt:lpstr>
      <vt:lpstr>prodnorm77</vt:lpstr>
      <vt:lpstr>prodnorm78</vt:lpstr>
      <vt:lpstr>prodnorm79</vt:lpstr>
      <vt:lpstr>prodnorm8</vt:lpstr>
      <vt:lpstr>prodnorm80</vt:lpstr>
      <vt:lpstr>prodnorm81</vt:lpstr>
      <vt:lpstr>prodnorm82</vt:lpstr>
      <vt:lpstr>prodnorm83</vt:lpstr>
      <vt:lpstr>prodnorm84</vt:lpstr>
      <vt:lpstr>prodnorm85</vt:lpstr>
      <vt:lpstr>prodnorm86</vt:lpstr>
      <vt:lpstr>prodnorm87</vt:lpstr>
      <vt:lpstr>prodnorm88</vt:lpstr>
      <vt:lpstr>prodnorm89</vt:lpstr>
      <vt:lpstr>prodnorm9</vt:lpstr>
      <vt:lpstr>prodnorm90</vt:lpstr>
      <vt:lpstr>prodnorm91</vt:lpstr>
      <vt:lpstr>prodnorm92</vt:lpstr>
      <vt:lpstr>prodnorm93</vt:lpstr>
      <vt:lpstr>prodnorm94</vt:lpstr>
      <vt:lpstr>prodnorm95</vt:lpstr>
      <vt:lpstr>prodnorm96</vt:lpstr>
      <vt:lpstr>prodnorm97</vt:lpstr>
      <vt:lpstr>prodnorm98</vt:lpstr>
      <vt:lpstr>prodnorm99</vt:lpstr>
      <vt:lpstr>taakfreqtabel1</vt:lpstr>
      <vt:lpstr>tabeltype</vt:lpstr>
      <vt:lpstr>tarieftabel1</vt:lpstr>
      <vt:lpstr>tzpjt1</vt:lpstr>
      <vt:lpstr>tzpjt1_1</vt:lpstr>
      <vt:lpstr>tzpmt1</vt:lpstr>
      <vt:lpstr>tzpmt1_1</vt:lpstr>
      <vt:lpstr>tzujt1</vt:lpstr>
      <vt:lpstr>tzujt1_1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uurtarief0</vt:lpstr>
      <vt:lpstr>uurtarief10</vt:lpstr>
      <vt:lpstr>uurtarief100</vt:lpstr>
      <vt:lpstr>uurtarief101</vt:lpstr>
      <vt:lpstr>uurtarief102</vt:lpstr>
      <vt:lpstr>uurtarief103</vt:lpstr>
      <vt:lpstr>uurtarief104</vt:lpstr>
      <vt:lpstr>uurtarief105</vt:lpstr>
      <vt:lpstr>uurtarief106</vt:lpstr>
      <vt:lpstr>uurtarief107</vt:lpstr>
      <vt:lpstr>uurtarief108</vt:lpstr>
      <vt:lpstr>uurtarief109</vt:lpstr>
      <vt:lpstr>uurtarief11</vt:lpstr>
      <vt:lpstr>uurtarief110</vt:lpstr>
      <vt:lpstr>uurtarief111</vt:lpstr>
      <vt:lpstr>uurtarief112</vt:lpstr>
      <vt:lpstr>uurtarief113</vt:lpstr>
      <vt:lpstr>uurtarief114</vt:lpstr>
      <vt:lpstr>uurtarief115</vt:lpstr>
      <vt:lpstr>uurtarief116</vt:lpstr>
      <vt:lpstr>uurtarief117</vt:lpstr>
      <vt:lpstr>uurtarief118</vt:lpstr>
      <vt:lpstr>uurtarief119</vt:lpstr>
      <vt:lpstr>uurtarief12</vt:lpstr>
      <vt:lpstr>uurtarief120</vt:lpstr>
      <vt:lpstr>uurtarief121</vt:lpstr>
      <vt:lpstr>uurtarief122</vt:lpstr>
      <vt:lpstr>uurtarief123</vt:lpstr>
      <vt:lpstr>uurtarief124</vt:lpstr>
      <vt:lpstr>uurtarief125</vt:lpstr>
      <vt:lpstr>uurtarief126</vt:lpstr>
      <vt:lpstr>uurtarief127</vt:lpstr>
      <vt:lpstr>uurtarief128</vt:lpstr>
      <vt:lpstr>uurtarief129</vt:lpstr>
      <vt:lpstr>uurtarief13</vt:lpstr>
      <vt:lpstr>uurtarief130</vt:lpstr>
      <vt:lpstr>uurtarief131</vt:lpstr>
      <vt:lpstr>uurtarief132</vt:lpstr>
      <vt:lpstr>uurtarief133</vt:lpstr>
      <vt:lpstr>uurtarief134</vt:lpstr>
      <vt:lpstr>uurtarief135</vt:lpstr>
      <vt:lpstr>uurtarief136</vt:lpstr>
      <vt:lpstr>uurtarief137</vt:lpstr>
      <vt:lpstr>uurtarief138</vt:lpstr>
      <vt:lpstr>uurtarief139</vt:lpstr>
      <vt:lpstr>uurtarief14</vt:lpstr>
      <vt:lpstr>uurtarief140</vt:lpstr>
      <vt:lpstr>uurtarief141</vt:lpstr>
      <vt:lpstr>uurtarief142</vt:lpstr>
      <vt:lpstr>uurtarief143</vt:lpstr>
      <vt:lpstr>uurtarief144</vt:lpstr>
      <vt:lpstr>uurtarief145</vt:lpstr>
      <vt:lpstr>uurtarief146</vt:lpstr>
      <vt:lpstr>uurtarief147</vt:lpstr>
      <vt:lpstr>uurtarief148</vt:lpstr>
      <vt:lpstr>uurtarief149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uurtarief63</vt:lpstr>
      <vt:lpstr>uurtarief64</vt:lpstr>
      <vt:lpstr>uurtarief65</vt:lpstr>
      <vt:lpstr>uurtarief66</vt:lpstr>
      <vt:lpstr>uurtarief67</vt:lpstr>
      <vt:lpstr>uurtarief68</vt:lpstr>
      <vt:lpstr>uurtarief69</vt:lpstr>
      <vt:lpstr>uurtarief7</vt:lpstr>
      <vt:lpstr>uurtarief70</vt:lpstr>
      <vt:lpstr>uurtarief71</vt:lpstr>
      <vt:lpstr>uurtarief72</vt:lpstr>
      <vt:lpstr>uurtarief73</vt:lpstr>
      <vt:lpstr>uurtarief74</vt:lpstr>
      <vt:lpstr>uurtarief75</vt:lpstr>
      <vt:lpstr>uurtarief76</vt:lpstr>
      <vt:lpstr>uurtarief77</vt:lpstr>
      <vt:lpstr>uurtarief78</vt:lpstr>
      <vt:lpstr>uurtarief79</vt:lpstr>
      <vt:lpstr>uurtarief8</vt:lpstr>
      <vt:lpstr>uurtarief80</vt:lpstr>
      <vt:lpstr>uurtarief81</vt:lpstr>
      <vt:lpstr>uurtarief82</vt:lpstr>
      <vt:lpstr>uurtarief83</vt:lpstr>
      <vt:lpstr>uurtarief84</vt:lpstr>
      <vt:lpstr>uurtarief85</vt:lpstr>
      <vt:lpstr>uurtarief86</vt:lpstr>
      <vt:lpstr>uurtarief87</vt:lpstr>
      <vt:lpstr>uurtarief88</vt:lpstr>
      <vt:lpstr>uurtarief89</vt:lpstr>
      <vt:lpstr>uurtarief9</vt:lpstr>
      <vt:lpstr>uurtarief90</vt:lpstr>
      <vt:lpstr>uurtarief91</vt:lpstr>
      <vt:lpstr>uurtarief92</vt:lpstr>
      <vt:lpstr>uurtarief93</vt:lpstr>
      <vt:lpstr>uurtarief94</vt:lpstr>
      <vt:lpstr>uurtarief95</vt:lpstr>
      <vt:lpstr>uurtarief96</vt:lpstr>
      <vt:lpstr>uurtarief97</vt:lpstr>
      <vt:lpstr>uurtarief98</vt:lpstr>
      <vt:lpstr>uurtarief99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2023-11-16T06:14:37Z</dcterms:created>
  <dcterms:modified xsi:type="dcterms:W3CDTF">2023-11-16T06:55:17Z</dcterms:modified>
</cp:coreProperties>
</file>