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5052d7f6075a98a3/Bureaublad/Zeeland/Bestek EU/publiceren/"/>
    </mc:Choice>
  </mc:AlternateContent>
  <xr:revisionPtr revIDLastSave="0" documentId="8_{7F08F16F-763B-4D81-BE2E-DC6E0128EC4C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Inventarisatiestaat" sheetId="11" r:id="rId1"/>
    <sheet name="Controlegegevens SMC" sheetId="12" state="hidden" r:id="rId2"/>
    <sheet name="Parameters" sheetId="9" state="veryHidden" r:id="rId3"/>
    <sheet name="Ruimtestaat" sheetId="2" r:id="rId4"/>
    <sheet name="Normenblad" sheetId="4" r:id="rId5"/>
    <sheet name="Offerte uurtarief" sheetId="5" r:id="rId6"/>
    <sheet name="Offerte uurtarief OLGA" sheetId="10" state="veryHidden" r:id="rId7"/>
    <sheet name="Kostenblad" sheetId="6" r:id="rId8"/>
  </sheets>
  <externalReferences>
    <externalReference r:id="rId9"/>
    <externalReference r:id="rId10"/>
    <externalReference r:id="rId11"/>
  </externalReferences>
  <definedNames>
    <definedName name="_1F" localSheetId="0" hidden="1">[1]Psychiatrie!#REF!</definedName>
    <definedName name="_1F" localSheetId="6" hidden="1">[1]Psychiatrie!#REF!</definedName>
    <definedName name="_1F" hidden="1">[1]Psychiatrie!#REF!</definedName>
    <definedName name="_2_0_F" localSheetId="0" hidden="1">[1]Psychiatrie!#REF!</definedName>
    <definedName name="_2_0_F" localSheetId="6" hidden="1">[1]Psychiatrie!#REF!</definedName>
    <definedName name="_2_0_F" hidden="1">[1]Psychiatrie!#REF!</definedName>
    <definedName name="_Dist_Bin" localSheetId="0" hidden="1">#REF!</definedName>
    <definedName name="_Dist_Bin" localSheetId="6" hidden="1">#REF!</definedName>
    <definedName name="_Dist_Bin" hidden="1">#REF!</definedName>
    <definedName name="_Dist_Values" localSheetId="0" hidden="1">#REF!</definedName>
    <definedName name="_Dist_Values" localSheetId="6" hidden="1">#REF!</definedName>
    <definedName name="_Dist_Values" hidden="1">#REF!</definedName>
    <definedName name="_Fill" localSheetId="0" hidden="1">'[2]#REF'!#REF!</definedName>
    <definedName name="_Fill" localSheetId="5" hidden="1">'[3]#REF'!#REF!</definedName>
    <definedName name="_Fill" localSheetId="6" hidden="1">'[3]#REF'!#REF!</definedName>
    <definedName name="_Fill" hidden="1">'[2]#REF'!#REF!</definedName>
    <definedName name="_xlnm._FilterDatabase" localSheetId="0" hidden="1">Inventarisatiestaat!$B$1:$I$1</definedName>
    <definedName name="_Key1" localSheetId="0" hidden="1">'[2]#REF'!#REF!</definedName>
    <definedName name="_Key1" localSheetId="5" hidden="1">'[3]#REF'!#REF!</definedName>
    <definedName name="_Key1" localSheetId="6" hidden="1">'[3]#REF'!#REF!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6" hidden="1">#REF!</definedName>
    <definedName name="_Sort" hidden="1">#REF!</definedName>
    <definedName name="_Table1_In1" localSheetId="0" hidden="1">#REF!</definedName>
    <definedName name="_Table1_In1" localSheetId="6" hidden="1">#REF!</definedName>
    <definedName name="_Table1_In1" hidden="1">#REF!</definedName>
    <definedName name="_Table1_Out" localSheetId="0" hidden="1">#REF!</definedName>
    <definedName name="_Table1_Out" localSheetId="6" hidden="1">#REF!</definedName>
    <definedName name="_Table1_Out" hidden="1">#REF!</definedName>
    <definedName name="AccessDatabase" hidden="1">"C:\data\excel\BASISWP.mdb"</definedName>
    <definedName name="offerteuur">'Offerte uurtarief'!$E$39</definedName>
    <definedName name="offerteuurolga">'Offerte uurtarief OLGA'!$E$42</definedName>
    <definedName name="qc">#REF!</definedName>
    <definedName name="qcolga">#REF!</definedName>
    <definedName name="totkol">Parameters!$C$18</definedName>
    <definedName name="tUren">Normenblad!$BW$22</definedName>
    <definedName name="tUrenOlga">Normenblad!A1048558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6" i="6" l="1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I6" i="4"/>
  <c r="BV6" i="4" s="1"/>
  <c r="I7" i="4"/>
  <c r="BV7" i="4" s="1"/>
  <c r="I8" i="4"/>
  <c r="BV8" i="4" s="1"/>
  <c r="I9" i="4"/>
  <c r="BV9" i="4" s="1"/>
  <c r="I10" i="4"/>
  <c r="BV10" i="4" s="1"/>
  <c r="I11" i="4"/>
  <c r="BV11" i="4" s="1"/>
  <c r="I12" i="4"/>
  <c r="BV12" i="4" s="1"/>
  <c r="I13" i="4"/>
  <c r="BV13" i="4" s="1"/>
  <c r="I14" i="4"/>
  <c r="BV14" i="4" s="1"/>
  <c r="I15" i="4"/>
  <c r="BV15" i="4" s="1"/>
  <c r="I16" i="4"/>
  <c r="BV16" i="4" s="1"/>
  <c r="I17" i="4"/>
  <c r="BV17" i="4" s="1"/>
  <c r="I18" i="4"/>
  <c r="BV18" i="4" s="1"/>
  <c r="I19" i="4"/>
  <c r="BV19" i="4" s="1"/>
  <c r="I20" i="4"/>
  <c r="BV20" i="4" s="1"/>
  <c r="I21" i="4"/>
  <c r="BV21" i="4" s="1"/>
  <c r="AS6" i="2"/>
  <c r="AS7" i="2"/>
  <c r="AS8" i="2"/>
  <c r="AS9" i="2"/>
  <c r="AS10" i="2"/>
  <c r="AS11" i="2"/>
  <c r="AS12" i="2"/>
  <c r="AS13" i="2"/>
  <c r="AS14" i="2"/>
  <c r="AS15" i="2"/>
  <c r="AS16" i="2"/>
  <c r="AS17" i="2"/>
  <c r="AS18" i="2"/>
  <c r="AS19" i="2"/>
  <c r="AS20" i="2"/>
  <c r="AS21" i="2"/>
  <c r="AX6" i="6"/>
  <c r="D6" i="2"/>
  <c r="AZ6" i="6"/>
  <c r="BA6" i="6"/>
  <c r="E6" i="2"/>
  <c r="BC6" i="6" s="1"/>
  <c r="F6" i="2"/>
  <c r="G6" i="2"/>
  <c r="BE6" i="6" s="1"/>
  <c r="H6" i="2"/>
  <c r="BI6" i="6"/>
  <c r="AX7" i="6"/>
  <c r="D7" i="2"/>
  <c r="AY7" i="6" s="1"/>
  <c r="AZ7" i="6"/>
  <c r="E7" i="2"/>
  <c r="BC7" i="6" s="1"/>
  <c r="F7" i="2"/>
  <c r="G7" i="2"/>
  <c r="H7" i="2"/>
  <c r="BG7" i="6" s="1"/>
  <c r="BH7" i="6"/>
  <c r="BI7" i="6"/>
  <c r="AX8" i="6"/>
  <c r="D8" i="2"/>
  <c r="BA8" i="6"/>
  <c r="E8" i="2"/>
  <c r="F8" i="2"/>
  <c r="BD8" i="6" s="1"/>
  <c r="G8" i="2"/>
  <c r="BF8" i="6"/>
  <c r="H8" i="2"/>
  <c r="BG8" i="6" s="1"/>
  <c r="BI8" i="6"/>
  <c r="AX9" i="6"/>
  <c r="D9" i="2"/>
  <c r="BA9" i="6"/>
  <c r="BB9" i="6"/>
  <c r="E9" i="2"/>
  <c r="F9" i="2"/>
  <c r="BD9" i="6" s="1"/>
  <c r="G9" i="2"/>
  <c r="BE9" i="6" s="1"/>
  <c r="H9" i="2"/>
  <c r="BG9" i="6" s="1"/>
  <c r="AW10" i="6"/>
  <c r="D10" i="2"/>
  <c r="AY10" i="6" s="1"/>
  <c r="AZ10" i="6"/>
  <c r="BA10" i="6"/>
  <c r="E10" i="2"/>
  <c r="BC10" i="6" s="1"/>
  <c r="F10" i="2"/>
  <c r="G10" i="2"/>
  <c r="H10" i="2"/>
  <c r="BG10" i="6" s="1"/>
  <c r="BH10" i="6"/>
  <c r="BI10" i="6"/>
  <c r="D11" i="2"/>
  <c r="AY11" i="6" s="1"/>
  <c r="E11" i="2"/>
  <c r="BC11" i="6" s="1"/>
  <c r="F11" i="2"/>
  <c r="BD11" i="6" s="1"/>
  <c r="G11" i="2"/>
  <c r="BE11" i="6" s="1"/>
  <c r="BF11" i="6"/>
  <c r="H11" i="2"/>
  <c r="BH11" i="6"/>
  <c r="D12" i="2"/>
  <c r="AY12" i="6" s="1"/>
  <c r="AZ12" i="6"/>
  <c r="BA12" i="6"/>
  <c r="BB12" i="6"/>
  <c r="E12" i="2"/>
  <c r="F12" i="2"/>
  <c r="G12" i="2"/>
  <c r="BE12" i="6" s="1"/>
  <c r="H12" i="2"/>
  <c r="BH12" i="6"/>
  <c r="BI12" i="6"/>
  <c r="AW13" i="6"/>
  <c r="AX13" i="6"/>
  <c r="D13" i="2"/>
  <c r="BA13" i="6"/>
  <c r="E13" i="2"/>
  <c r="F13" i="2"/>
  <c r="BD13" i="6" s="1"/>
  <c r="G13" i="2"/>
  <c r="BE13" i="6" s="1"/>
  <c r="BF13" i="6"/>
  <c r="H13" i="2"/>
  <c r="BH13" i="6"/>
  <c r="D14" i="2"/>
  <c r="AZ14" i="6"/>
  <c r="BA14" i="6"/>
  <c r="E14" i="2"/>
  <c r="BC14" i="6" s="1"/>
  <c r="F14" i="2"/>
  <c r="BD14" i="6" s="1"/>
  <c r="G14" i="2"/>
  <c r="BF14" i="6"/>
  <c r="H14" i="2"/>
  <c r="BI14" i="6"/>
  <c r="AX15" i="6"/>
  <c r="D15" i="2"/>
  <c r="AY15" i="6" s="1"/>
  <c r="AZ15" i="6"/>
  <c r="BB15" i="6"/>
  <c r="E15" i="2"/>
  <c r="F15" i="2"/>
  <c r="G15" i="2"/>
  <c r="BF15" i="6"/>
  <c r="H15" i="2"/>
  <c r="BG15" i="6" s="1"/>
  <c r="BH15" i="6"/>
  <c r="AX16" i="6"/>
  <c r="D16" i="2"/>
  <c r="BB16" i="6"/>
  <c r="E16" i="2"/>
  <c r="BC16" i="6" s="1"/>
  <c r="F16" i="2"/>
  <c r="BD16" i="6" s="1"/>
  <c r="G16" i="2"/>
  <c r="BE16" i="6" s="1"/>
  <c r="H16" i="2"/>
  <c r="BG16" i="6" s="1"/>
  <c r="AX17" i="6"/>
  <c r="D17" i="2"/>
  <c r="AY17" i="6" s="1"/>
  <c r="AZ17" i="6"/>
  <c r="BA17" i="6"/>
  <c r="E17" i="2"/>
  <c r="F17" i="2"/>
  <c r="BD17" i="6" s="1"/>
  <c r="G17" i="2"/>
  <c r="H17" i="2"/>
  <c r="BG17" i="6" s="1"/>
  <c r="BH17" i="6"/>
  <c r="BI17" i="6"/>
  <c r="AW18" i="6"/>
  <c r="D18" i="2"/>
  <c r="E18" i="2"/>
  <c r="BC18" i="6" s="1"/>
  <c r="F18" i="2"/>
  <c r="BD18" i="6" s="1"/>
  <c r="G18" i="2"/>
  <c r="BE18" i="6" s="1"/>
  <c r="H18" i="2"/>
  <c r="BG18" i="6" s="1"/>
  <c r="BI18" i="6"/>
  <c r="D19" i="2"/>
  <c r="AY19" i="6" s="1"/>
  <c r="AZ19" i="6"/>
  <c r="BB19" i="6"/>
  <c r="E19" i="2"/>
  <c r="BC19" i="6" s="1"/>
  <c r="F19" i="2"/>
  <c r="G19" i="2"/>
  <c r="BE19" i="6" s="1"/>
  <c r="H19" i="2"/>
  <c r="BH19" i="6"/>
  <c r="AX20" i="6"/>
  <c r="D20" i="2"/>
  <c r="AY20" i="6" s="1"/>
  <c r="BA20" i="6"/>
  <c r="E20" i="2"/>
  <c r="F20" i="2"/>
  <c r="G20" i="2"/>
  <c r="BE20" i="6" s="1"/>
  <c r="BF20" i="6"/>
  <c r="H20" i="2"/>
  <c r="BG20" i="6" s="1"/>
  <c r="BH20" i="6"/>
  <c r="AW21" i="6"/>
  <c r="D21" i="2"/>
  <c r="BA21" i="6"/>
  <c r="BB21" i="6"/>
  <c r="E21" i="2"/>
  <c r="BC21" i="6" s="1"/>
  <c r="F21" i="2"/>
  <c r="BD21" i="6" s="1"/>
  <c r="G21" i="2"/>
  <c r="BF21" i="6"/>
  <c r="H21" i="2"/>
  <c r="AB73" i="11"/>
  <c r="AB72" i="11"/>
  <c r="AB71" i="11"/>
  <c r="AB63" i="11"/>
  <c r="AB68" i="11"/>
  <c r="AB51" i="11"/>
  <c r="I9" i="2" l="1"/>
  <c r="I12" i="2"/>
  <c r="I15" i="2"/>
  <c r="BE21" i="6"/>
  <c r="AZ21" i="4"/>
  <c r="BB20" i="6"/>
  <c r="BF16" i="6"/>
  <c r="BC15" i="6"/>
  <c r="AX15" i="4"/>
  <c r="BH14" i="6"/>
  <c r="BG11" i="6"/>
  <c r="BA11" i="4"/>
  <c r="BD10" i="6"/>
  <c r="AY10" i="4"/>
  <c r="BI9" i="6"/>
  <c r="BH6" i="6"/>
  <c r="E22" i="2"/>
  <c r="B8" i="9" s="1"/>
  <c r="C8" i="9" s="1"/>
  <c r="I21" i="2"/>
  <c r="AW20" i="4"/>
  <c r="AW19" i="4"/>
  <c r="BA16" i="4"/>
  <c r="BA15" i="4"/>
  <c r="AY14" i="4"/>
  <c r="AY13" i="4"/>
  <c r="AW11" i="4"/>
  <c r="AW10" i="4"/>
  <c r="BA7" i="4"/>
  <c r="BG19" i="6"/>
  <c r="BA19" i="4"/>
  <c r="BI20" i="6"/>
  <c r="BF19" i="6"/>
  <c r="AX19" i="6"/>
  <c r="AW16" i="6"/>
  <c r="I16" i="2"/>
  <c r="BG14" i="6"/>
  <c r="BA14" i="4"/>
  <c r="AY14" i="6"/>
  <c r="AW14" i="4"/>
  <c r="AX11" i="6"/>
  <c r="BH9" i="6"/>
  <c r="AZ9" i="6"/>
  <c r="BE8" i="6"/>
  <c r="AZ8" i="4"/>
  <c r="AW8" i="6"/>
  <c r="BA6" i="4"/>
  <c r="BG6" i="6"/>
  <c r="H22" i="2"/>
  <c r="B12" i="9" s="1"/>
  <c r="C12" i="9" s="1"/>
  <c r="D22" i="2"/>
  <c r="B4" i="9" s="1"/>
  <c r="C4" i="9" s="1"/>
  <c r="B7" i="9"/>
  <c r="C7" i="9" s="1"/>
  <c r="I10" i="2"/>
  <c r="AZ16" i="4"/>
  <c r="AX14" i="4"/>
  <c r="BA8" i="4"/>
  <c r="AX7" i="4"/>
  <c r="BB18" i="6"/>
  <c r="BA15" i="6"/>
  <c r="AX14" i="6"/>
  <c r="BC13" i="6"/>
  <c r="AX13" i="4"/>
  <c r="AW11" i="6"/>
  <c r="I11" i="2"/>
  <c r="BB10" i="6"/>
  <c r="AY9" i="6"/>
  <c r="AW9" i="4"/>
  <c r="BA7" i="6"/>
  <c r="BF6" i="6"/>
  <c r="BA18" i="4"/>
  <c r="BA17" i="4"/>
  <c r="AY16" i="4"/>
  <c r="AW12" i="4"/>
  <c r="BA9" i="4"/>
  <c r="BD19" i="6"/>
  <c r="AY19" i="4"/>
  <c r="BA18" i="6"/>
  <c r="BF17" i="6"/>
  <c r="BE14" i="6"/>
  <c r="AZ14" i="4"/>
  <c r="AW14" i="6"/>
  <c r="I14" i="2"/>
  <c r="BB13" i="6"/>
  <c r="BG12" i="6"/>
  <c r="BA12" i="4"/>
  <c r="BF9" i="6"/>
  <c r="BC8" i="6"/>
  <c r="AX8" i="4"/>
  <c r="AW6" i="6"/>
  <c r="I6" i="2"/>
  <c r="B5" i="9"/>
  <c r="C5" i="9" s="1"/>
  <c r="I13" i="2"/>
  <c r="AZ18" i="4"/>
  <c r="AY17" i="4"/>
  <c r="AX16" i="4"/>
  <c r="AZ9" i="4"/>
  <c r="AY8" i="4"/>
  <c r="AW7" i="4"/>
  <c r="AZ20" i="6"/>
  <c r="BH18" i="6"/>
  <c r="BE17" i="6"/>
  <c r="AZ17" i="4"/>
  <c r="AW17" i="6"/>
  <c r="BI13" i="6"/>
  <c r="BF12" i="6"/>
  <c r="AX12" i="6"/>
  <c r="AW9" i="6"/>
  <c r="BB8" i="6"/>
  <c r="BD6" i="6"/>
  <c r="AY6" i="4"/>
  <c r="F22" i="2"/>
  <c r="B9" i="9" s="1"/>
  <c r="C9" i="9" s="1"/>
  <c r="B3" i="9"/>
  <c r="C3" i="9" s="1"/>
  <c r="BA20" i="4"/>
  <c r="AZ19" i="4"/>
  <c r="AY18" i="4"/>
  <c r="AW15" i="4"/>
  <c r="BA10" i="4"/>
  <c r="AY9" i="4"/>
  <c r="AZ18" i="6"/>
  <c r="BI21" i="6"/>
  <c r="AZ21" i="6"/>
  <c r="AW20" i="6"/>
  <c r="I20" i="2"/>
  <c r="AY18" i="6"/>
  <c r="AW18" i="4"/>
  <c r="BI16" i="6"/>
  <c r="BA16" i="6"/>
  <c r="AZ13" i="6"/>
  <c r="AW12" i="6"/>
  <c r="BB11" i="6"/>
  <c r="BF7" i="6"/>
  <c r="B2" i="9"/>
  <c r="C2" i="9" s="1"/>
  <c r="I17" i="2"/>
  <c r="AX19" i="4"/>
  <c r="AX18" i="4"/>
  <c r="AZ11" i="4"/>
  <c r="AX10" i="4"/>
  <c r="BI15" i="6"/>
  <c r="AW19" i="6"/>
  <c r="BH21" i="6"/>
  <c r="BA21" i="4"/>
  <c r="BG21" i="6"/>
  <c r="AW21" i="4"/>
  <c r="AY21" i="6"/>
  <c r="BD20" i="6"/>
  <c r="AY20" i="4"/>
  <c r="BI19" i="6"/>
  <c r="BA19" i="6"/>
  <c r="BF18" i="6"/>
  <c r="AX18" i="6"/>
  <c r="BC17" i="6"/>
  <c r="AX17" i="4"/>
  <c r="BH16" i="6"/>
  <c r="AZ16" i="6"/>
  <c r="BE15" i="6"/>
  <c r="AZ15" i="4"/>
  <c r="AW15" i="6"/>
  <c r="BB14" i="6"/>
  <c r="BA13" i="4"/>
  <c r="BG13" i="6"/>
  <c r="AY13" i="6"/>
  <c r="AW13" i="4"/>
  <c r="BD12" i="6"/>
  <c r="AY12" i="4"/>
  <c r="BI11" i="6"/>
  <c r="BA11" i="6"/>
  <c r="BF10" i="6"/>
  <c r="AX10" i="6"/>
  <c r="BC9" i="6"/>
  <c r="AX9" i="4"/>
  <c r="BH8" i="6"/>
  <c r="AZ8" i="6"/>
  <c r="BE7" i="6"/>
  <c r="AZ7" i="4"/>
  <c r="AW7" i="6"/>
  <c r="I7" i="2"/>
  <c r="I18" i="2"/>
  <c r="AY21" i="4"/>
  <c r="AZ20" i="4"/>
  <c r="AW17" i="4"/>
  <c r="AZ12" i="4"/>
  <c r="AY11" i="4"/>
  <c r="AZ6" i="4"/>
  <c r="AX21" i="6"/>
  <c r="BC20" i="6"/>
  <c r="AX20" i="4"/>
  <c r="BB17" i="6"/>
  <c r="AY16" i="6"/>
  <c r="AW16" i="4"/>
  <c r="BD15" i="6"/>
  <c r="AY15" i="4"/>
  <c r="BC12" i="6"/>
  <c r="AX12" i="4"/>
  <c r="AZ11" i="6"/>
  <c r="BE10" i="6"/>
  <c r="AZ10" i="4"/>
  <c r="AY8" i="6"/>
  <c r="AW8" i="4"/>
  <c r="BD7" i="6"/>
  <c r="AY7" i="4"/>
  <c r="G22" i="2"/>
  <c r="I8" i="2"/>
  <c r="I19" i="2"/>
  <c r="AX21" i="4"/>
  <c r="AZ13" i="4"/>
  <c r="AX11" i="4"/>
  <c r="AX6" i="4"/>
  <c r="BB7" i="6"/>
  <c r="BB6" i="6"/>
  <c r="AW6" i="4"/>
  <c r="AY6" i="6"/>
  <c r="AB54" i="11"/>
  <c r="AB69" i="11"/>
  <c r="AB70" i="11"/>
  <c r="AB55" i="11"/>
  <c r="AB57" i="11"/>
  <c r="AB56" i="11"/>
  <c r="AB67" i="11"/>
  <c r="AB64" i="11"/>
  <c r="AB65" i="11"/>
  <c r="AB66" i="11"/>
  <c r="AB62" i="11"/>
  <c r="AB58" i="11"/>
  <c r="AB59" i="11"/>
  <c r="AB60" i="11"/>
  <c r="AB61" i="11"/>
  <c r="AB53" i="11"/>
  <c r="AB50" i="11"/>
  <c r="AB45" i="11"/>
  <c r="AB46" i="11"/>
  <c r="AB52" i="11"/>
  <c r="AB47" i="11"/>
  <c r="AB48" i="11"/>
  <c r="AB42" i="11"/>
  <c r="AB49" i="11"/>
  <c r="AB41" i="11"/>
  <c r="AB43" i="11"/>
  <c r="AB39" i="11"/>
  <c r="AB38" i="11"/>
  <c r="AB40" i="11"/>
  <c r="AB44" i="11"/>
  <c r="AB35" i="11"/>
  <c r="AB36" i="11"/>
  <c r="AB37" i="11"/>
  <c r="AB29" i="11"/>
  <c r="AB30" i="11"/>
  <c r="AB31" i="11"/>
  <c r="AB32" i="11"/>
  <c r="AB33" i="11"/>
  <c r="AB34" i="11"/>
  <c r="AB25" i="11"/>
  <c r="AB28" i="11"/>
  <c r="AB26" i="11"/>
  <c r="AB16" i="11"/>
  <c r="AB27" i="11"/>
  <c r="AB8" i="11"/>
  <c r="AB18" i="11"/>
  <c r="AB24" i="11"/>
  <c r="AB21" i="11"/>
  <c r="AB20" i="11"/>
  <c r="AB22" i="11"/>
  <c r="AB23" i="11"/>
  <c r="AB10" i="11"/>
  <c r="AB13" i="11"/>
  <c r="AB19" i="11"/>
  <c r="AB11" i="11"/>
  <c r="AB17" i="11"/>
  <c r="AB12" i="11"/>
  <c r="AB14" i="11"/>
  <c r="AB15" i="11"/>
  <c r="AB3" i="11"/>
  <c r="AB4" i="11"/>
  <c r="AB7" i="11"/>
  <c r="AB6" i="11"/>
  <c r="AB9" i="11"/>
  <c r="AB2" i="11"/>
  <c r="AB5" i="11"/>
  <c r="C16" i="9"/>
  <c r="D15" i="12"/>
  <c r="D16" i="12"/>
  <c r="B2" i="4"/>
  <c r="M34" i="10"/>
  <c r="I40" i="10"/>
  <c r="E40" i="10"/>
  <c r="J40" i="10" s="1"/>
  <c r="I36" i="10"/>
  <c r="H36" i="10"/>
  <c r="E36" i="10"/>
  <c r="J36" i="10" s="1"/>
  <c r="E35" i="10"/>
  <c r="K35" i="10" s="1"/>
  <c r="I35" i="10"/>
  <c r="I34" i="10"/>
  <c r="E34" i="10"/>
  <c r="K34" i="10" s="1"/>
  <c r="I33" i="10"/>
  <c r="E33" i="10"/>
  <c r="J33" i="10" s="1"/>
  <c r="I32" i="10"/>
  <c r="E32" i="10"/>
  <c r="J32" i="10" s="1"/>
  <c r="E31" i="10"/>
  <c r="J31" i="10" s="1"/>
  <c r="I31" i="10"/>
  <c r="E30" i="10"/>
  <c r="J30" i="10" s="1"/>
  <c r="I30" i="10"/>
  <c r="I29" i="10"/>
  <c r="E29" i="10"/>
  <c r="J29" i="10" s="1"/>
  <c r="I28" i="10"/>
  <c r="E28" i="10"/>
  <c r="E27" i="10"/>
  <c r="J27" i="10" s="1"/>
  <c r="I27" i="10"/>
  <c r="I23" i="10"/>
  <c r="H23" i="10"/>
  <c r="E23" i="10"/>
  <c r="I22" i="10"/>
  <c r="E22" i="10"/>
  <c r="J22" i="10"/>
  <c r="I21" i="10"/>
  <c r="E21" i="10"/>
  <c r="E20" i="10"/>
  <c r="J20" i="10" s="1"/>
  <c r="I20" i="10"/>
  <c r="E19" i="10"/>
  <c r="J19" i="10" s="1"/>
  <c r="I19" i="10"/>
  <c r="I18" i="10"/>
  <c r="E18" i="10"/>
  <c r="J18" i="10" s="1"/>
  <c r="I15" i="10"/>
  <c r="I12" i="10"/>
  <c r="E12" i="10"/>
  <c r="F12" i="10" s="1"/>
  <c r="J11" i="10"/>
  <c r="I8" i="10"/>
  <c r="E8" i="10"/>
  <c r="F8" i="10" s="1"/>
  <c r="I7" i="10"/>
  <c r="E7" i="10"/>
  <c r="J4" i="10"/>
  <c r="I37" i="5"/>
  <c r="E37" i="5"/>
  <c r="J37" i="5" s="1"/>
  <c r="I33" i="5"/>
  <c r="H33" i="5"/>
  <c r="E33" i="5"/>
  <c r="J33" i="5" s="1"/>
  <c r="I32" i="5"/>
  <c r="E32" i="5"/>
  <c r="J32" i="5" s="1"/>
  <c r="E31" i="5"/>
  <c r="J31" i="5" s="1"/>
  <c r="I31" i="5"/>
  <c r="E30" i="5"/>
  <c r="J30" i="5" s="1"/>
  <c r="I30" i="5"/>
  <c r="I29" i="5"/>
  <c r="E29" i="5"/>
  <c r="J29" i="5" s="1"/>
  <c r="I28" i="5"/>
  <c r="E28" i="5"/>
  <c r="J28" i="5" s="1"/>
  <c r="E27" i="5"/>
  <c r="J27" i="5" s="1"/>
  <c r="I27" i="5"/>
  <c r="E26" i="5"/>
  <c r="I26" i="5"/>
  <c r="I22" i="5"/>
  <c r="H22" i="5"/>
  <c r="E22" i="5"/>
  <c r="J22" i="5" s="1"/>
  <c r="I21" i="5"/>
  <c r="E21" i="5"/>
  <c r="J21" i="5" s="1"/>
  <c r="I20" i="5"/>
  <c r="E20" i="5"/>
  <c r="J20" i="5" s="1"/>
  <c r="I19" i="5"/>
  <c r="E19" i="5"/>
  <c r="J19" i="5" s="1"/>
  <c r="I18" i="5"/>
  <c r="E18" i="5"/>
  <c r="J18" i="5" s="1"/>
  <c r="I15" i="5"/>
  <c r="I12" i="5"/>
  <c r="E12" i="5"/>
  <c r="F12" i="5" s="1"/>
  <c r="J11" i="5"/>
  <c r="I8" i="5"/>
  <c r="E8" i="5"/>
  <c r="I7" i="5"/>
  <c r="E7" i="5"/>
  <c r="F7" i="5" s="1"/>
  <c r="J4" i="5"/>
  <c r="B2" i="10"/>
  <c r="B2" i="5"/>
  <c r="B2" i="6"/>
  <c r="B2" i="2"/>
  <c r="B21" i="9"/>
  <c r="B22" i="9" s="1"/>
  <c r="B15" i="9"/>
  <c r="C15" i="9" s="1"/>
  <c r="B14" i="9"/>
  <c r="C14" i="9" s="1"/>
  <c r="B13" i="9"/>
  <c r="C13" i="9" s="1"/>
  <c r="B11" i="9"/>
  <c r="C11" i="9" s="1"/>
  <c r="B10" i="9"/>
  <c r="C10" i="9" s="1"/>
  <c r="B6" i="9"/>
  <c r="C6" i="9" s="1"/>
  <c r="J21" i="10"/>
  <c r="J28" i="10"/>
  <c r="BC20" i="4" l="1"/>
  <c r="I22" i="2"/>
  <c r="BS7" i="4"/>
  <c r="BI7" i="4"/>
  <c r="F7" i="4"/>
  <c r="BR20" i="4"/>
  <c r="E20" i="4"/>
  <c r="BH20" i="4"/>
  <c r="BQ15" i="4"/>
  <c r="BG15" i="4"/>
  <c r="D15" i="4"/>
  <c r="BJ9" i="4"/>
  <c r="G9" i="4"/>
  <c r="BT9" i="4" s="1"/>
  <c r="BR8" i="4"/>
  <c r="E8" i="4"/>
  <c r="BH8" i="4"/>
  <c r="BI19" i="4"/>
  <c r="F19" i="4"/>
  <c r="BS19" i="4"/>
  <c r="BJ8" i="4"/>
  <c r="G8" i="4"/>
  <c r="BT8" i="4" s="1"/>
  <c r="BG6" i="4"/>
  <c r="D6" i="4"/>
  <c r="BQ6" i="4" s="1"/>
  <c r="BC18" i="4"/>
  <c r="G12" i="4"/>
  <c r="BT12" i="4" s="1"/>
  <c r="BJ12" i="4"/>
  <c r="F6" i="4"/>
  <c r="BS6" i="4" s="1"/>
  <c r="BI6" i="4"/>
  <c r="BH14" i="4"/>
  <c r="E14" i="4"/>
  <c r="BR14" i="4" s="1"/>
  <c r="H7" i="4"/>
  <c r="BU7" i="4" s="1"/>
  <c r="BK7" i="4"/>
  <c r="BK16" i="4"/>
  <c r="H16" i="4"/>
  <c r="BU16" i="4" s="1"/>
  <c r="BR12" i="4"/>
  <c r="E12" i="4"/>
  <c r="BH12" i="4"/>
  <c r="F11" i="4"/>
  <c r="BS11" i="4" s="1"/>
  <c r="BI11" i="4"/>
  <c r="BJ18" i="4"/>
  <c r="G18" i="4"/>
  <c r="BT18" i="4" s="1"/>
  <c r="D12" i="4"/>
  <c r="BQ12" i="4"/>
  <c r="BG12" i="4"/>
  <c r="BG14" i="4"/>
  <c r="D14" i="4"/>
  <c r="BQ14" i="4" s="1"/>
  <c r="BU15" i="4"/>
  <c r="H15" i="4"/>
  <c r="BK15" i="4"/>
  <c r="BJ21" i="4"/>
  <c r="G21" i="4"/>
  <c r="BT21" i="4" s="1"/>
  <c r="BQ8" i="4"/>
  <c r="BG8" i="4"/>
  <c r="D8" i="4"/>
  <c r="F15" i="4"/>
  <c r="BS15" i="4" s="1"/>
  <c r="BI15" i="4"/>
  <c r="BK13" i="4"/>
  <c r="H13" i="4"/>
  <c r="BU13" i="4"/>
  <c r="BG21" i="4"/>
  <c r="D21" i="4"/>
  <c r="BQ21" i="4" s="1"/>
  <c r="BJ14" i="4"/>
  <c r="G14" i="4"/>
  <c r="BT14" i="4" s="1"/>
  <c r="BK14" i="4"/>
  <c r="H14" i="4"/>
  <c r="BU14" i="4" s="1"/>
  <c r="BR15" i="4"/>
  <c r="E15" i="4"/>
  <c r="BH15" i="4"/>
  <c r="BR11" i="4"/>
  <c r="E11" i="4"/>
  <c r="BH11" i="4"/>
  <c r="BC7" i="4"/>
  <c r="BH9" i="4"/>
  <c r="E9" i="4"/>
  <c r="BR9" i="4"/>
  <c r="BI9" i="4"/>
  <c r="F9" i="4"/>
  <c r="BS9" i="4" s="1"/>
  <c r="F18" i="4"/>
  <c r="BS18" i="4" s="1"/>
  <c r="BI18" i="4"/>
  <c r="BC13" i="4"/>
  <c r="BH13" i="4"/>
  <c r="BR13" i="4"/>
  <c r="E13" i="4"/>
  <c r="BJ16" i="4"/>
  <c r="G16" i="4"/>
  <c r="BT16" i="4" s="1"/>
  <c r="D10" i="4"/>
  <c r="BQ10" i="4"/>
  <c r="BG10" i="4"/>
  <c r="BG19" i="4"/>
  <c r="D19" i="4"/>
  <c r="BQ19" i="4" s="1"/>
  <c r="D16" i="4"/>
  <c r="BQ16" i="4" s="1"/>
  <c r="BG16" i="4"/>
  <c r="BQ17" i="4"/>
  <c r="D17" i="4"/>
  <c r="BG17" i="4"/>
  <c r="BK21" i="4"/>
  <c r="H21" i="4"/>
  <c r="BU21" i="4" s="1"/>
  <c r="G19" i="4"/>
  <c r="BT19" i="4" s="1"/>
  <c r="BJ19" i="4"/>
  <c r="H12" i="4"/>
  <c r="BU12" i="4" s="1"/>
  <c r="BK12" i="4"/>
  <c r="BC16" i="4"/>
  <c r="BG11" i="4"/>
  <c r="D11" i="4"/>
  <c r="BQ11" i="4" s="1"/>
  <c r="BG20" i="4"/>
  <c r="D20" i="4"/>
  <c r="BQ20" i="4" s="1"/>
  <c r="F10" i="4"/>
  <c r="BS10" i="4" s="1"/>
  <c r="BI10" i="4"/>
  <c r="BH21" i="4"/>
  <c r="E21" i="4"/>
  <c r="BR21" i="4"/>
  <c r="BJ10" i="4"/>
  <c r="G10" i="4"/>
  <c r="BT10" i="4" s="1"/>
  <c r="G6" i="4"/>
  <c r="BT6" i="4" s="1"/>
  <c r="BJ6" i="4"/>
  <c r="BR18" i="4"/>
  <c r="BH18" i="4"/>
  <c r="E18" i="4"/>
  <c r="H10" i="4"/>
  <c r="BU10" i="4" s="1"/>
  <c r="BK10" i="4"/>
  <c r="F16" i="4"/>
  <c r="BS16" i="4" s="1"/>
  <c r="BI16" i="4"/>
  <c r="BR7" i="4"/>
  <c r="BH7" i="4"/>
  <c r="E7" i="4"/>
  <c r="G13" i="4"/>
  <c r="BT13" i="4" s="1"/>
  <c r="BJ13" i="4"/>
  <c r="BJ7" i="4"/>
  <c r="G7" i="4"/>
  <c r="BT7" i="4" s="1"/>
  <c r="BI12" i="4"/>
  <c r="F12" i="4"/>
  <c r="BS12" i="4" s="1"/>
  <c r="BC15" i="4"/>
  <c r="BR17" i="4"/>
  <c r="BH17" i="4"/>
  <c r="E17" i="4"/>
  <c r="BH10" i="4"/>
  <c r="BR10" i="4"/>
  <c r="E10" i="4"/>
  <c r="BH19" i="4"/>
  <c r="BR19" i="4"/>
  <c r="E19" i="4"/>
  <c r="H20" i="4"/>
  <c r="BU20" i="4" s="1"/>
  <c r="BK20" i="4"/>
  <c r="BC9" i="4"/>
  <c r="BC17" i="4"/>
  <c r="BC6" i="4"/>
  <c r="BK17" i="4"/>
  <c r="H17" i="4"/>
  <c r="BU17" i="4" s="1"/>
  <c r="BQ9" i="4"/>
  <c r="D9" i="4"/>
  <c r="BG9" i="4"/>
  <c r="BK8" i="4"/>
  <c r="H8" i="4"/>
  <c r="BU8" i="4" s="1"/>
  <c r="BK6" i="4"/>
  <c r="H6" i="4"/>
  <c r="BU6" i="4" s="1"/>
  <c r="H19" i="4"/>
  <c r="BU19" i="4" s="1"/>
  <c r="BK19" i="4"/>
  <c r="G20" i="4"/>
  <c r="BT20" i="4" s="1"/>
  <c r="BJ20" i="4"/>
  <c r="G11" i="4"/>
  <c r="BT11" i="4" s="1"/>
  <c r="BJ11" i="4"/>
  <c r="D7" i="4"/>
  <c r="BQ7" i="4" s="1"/>
  <c r="BG7" i="4"/>
  <c r="E16" i="4"/>
  <c r="BH16" i="4"/>
  <c r="BR16" i="4"/>
  <c r="BK9" i="4"/>
  <c r="H9" i="4"/>
  <c r="BU9" i="4" s="1"/>
  <c r="BK18" i="4"/>
  <c r="H18" i="4"/>
  <c r="BU18" i="4" s="1"/>
  <c r="BC10" i="4"/>
  <c r="BI13" i="4"/>
  <c r="F13" i="4"/>
  <c r="BS13" i="4" s="1"/>
  <c r="H11" i="4"/>
  <c r="BU11" i="4" s="1"/>
  <c r="BK11" i="4"/>
  <c r="BC11" i="4"/>
  <c r="BR6" i="4"/>
  <c r="BH6" i="4"/>
  <c r="E6" i="4"/>
  <c r="BI21" i="4"/>
  <c r="F21" i="4"/>
  <c r="BS21" i="4" s="1"/>
  <c r="BG13" i="4"/>
  <c r="D13" i="4"/>
  <c r="BQ13" i="4" s="1"/>
  <c r="BJ15" i="4"/>
  <c r="G15" i="4"/>
  <c r="BI20" i="4"/>
  <c r="F20" i="4"/>
  <c r="BS20" i="4" s="1"/>
  <c r="BC19" i="4"/>
  <c r="BC12" i="4"/>
  <c r="BG18" i="4"/>
  <c r="D18" i="4"/>
  <c r="BQ18" i="4" s="1"/>
  <c r="BC14" i="4"/>
  <c r="BJ17" i="4"/>
  <c r="G17" i="4"/>
  <c r="BT17" i="4" s="1"/>
  <c r="BI8" i="4"/>
  <c r="F8" i="4"/>
  <c r="BS8" i="4" s="1"/>
  <c r="F17" i="4"/>
  <c r="BS17" i="4" s="1"/>
  <c r="BI17" i="4"/>
  <c r="BC21" i="4"/>
  <c r="BC8" i="4"/>
  <c r="BI14" i="4"/>
  <c r="F14" i="4"/>
  <c r="BS14" i="4" s="1"/>
  <c r="E35" i="5"/>
  <c r="F37" i="5" s="1"/>
  <c r="F34" i="10"/>
  <c r="E9" i="10"/>
  <c r="E13" i="10" s="1"/>
  <c r="E15" i="10" s="1"/>
  <c r="F15" i="10" s="1"/>
  <c r="C18" i="9"/>
  <c r="E9" i="5"/>
  <c r="E13" i="5" s="1"/>
  <c r="E15" i="5" s="1"/>
  <c r="F15" i="5" s="1"/>
  <c r="J35" i="10"/>
  <c r="J34" i="10"/>
  <c r="F7" i="10"/>
  <c r="F8" i="5"/>
  <c r="J26" i="5"/>
  <c r="J23" i="10"/>
  <c r="BM11" i="4" l="1"/>
  <c r="BT15" i="4"/>
  <c r="AV11" i="4"/>
  <c r="J11" i="4" s="1"/>
  <c r="AV14" i="4"/>
  <c r="J14" i="4" s="1"/>
  <c r="BM14" i="4"/>
  <c r="AV20" i="4"/>
  <c r="J20" i="4" s="1"/>
  <c r="BM19" i="4"/>
  <c r="BM20" i="4"/>
  <c r="AV19" i="4"/>
  <c r="J19" i="4" s="1"/>
  <c r="BW20" i="4"/>
  <c r="BW11" i="4"/>
  <c r="BM7" i="4"/>
  <c r="BM18" i="4"/>
  <c r="BW19" i="4"/>
  <c r="AV15" i="4"/>
  <c r="J15" i="4" s="1"/>
  <c r="L34" i="10" s="1"/>
  <c r="BW18" i="4"/>
  <c r="AV21" i="4"/>
  <c r="J21" i="4" s="1"/>
  <c r="AV10" i="4"/>
  <c r="J10" i="4" s="1"/>
  <c r="AV17" i="4"/>
  <c r="J17" i="4" s="1"/>
  <c r="BM15" i="4"/>
  <c r="AV16" i="4"/>
  <c r="J16" i="4" s="1"/>
  <c r="AV13" i="4"/>
  <c r="J13" i="4" s="1"/>
  <c r="BW9" i="4"/>
  <c r="BM21" i="4"/>
  <c r="AV6" i="4"/>
  <c r="BM17" i="4"/>
  <c r="BM13" i="4"/>
  <c r="BM8" i="4"/>
  <c r="BM10" i="4"/>
  <c r="BW21" i="4"/>
  <c r="BM12" i="4"/>
  <c r="BW10" i="4"/>
  <c r="BM6" i="4"/>
  <c r="BW17" i="4"/>
  <c r="BW16" i="4"/>
  <c r="BW13" i="4"/>
  <c r="BW6" i="4"/>
  <c r="BM16" i="4"/>
  <c r="AV8" i="4"/>
  <c r="J8" i="4" s="1"/>
  <c r="BW14" i="4"/>
  <c r="BC22" i="4"/>
  <c r="AV9" i="4"/>
  <c r="J9" i="4" s="1"/>
  <c r="BW7" i="4"/>
  <c r="BW12" i="4"/>
  <c r="BW8" i="4"/>
  <c r="AV12" i="4"/>
  <c r="J12" i="4" s="1"/>
  <c r="BM9" i="4"/>
  <c r="AV7" i="4"/>
  <c r="J7" i="4" s="1"/>
  <c r="AV18" i="4"/>
  <c r="J18" i="4" s="1"/>
  <c r="E16" i="5"/>
  <c r="E16" i="10"/>
  <c r="C34" i="10" l="1"/>
  <c r="E38" i="10"/>
  <c r="F40" i="10" s="1"/>
  <c r="BW15" i="4"/>
  <c r="BW22" i="4" s="1"/>
  <c r="BM22" i="4"/>
  <c r="J6" i="4"/>
  <c r="AV22" i="4"/>
  <c r="J22" i="4" s="1"/>
  <c r="E25" i="10"/>
  <c r="F20" i="10"/>
  <c r="F21" i="10"/>
  <c r="F19" i="10"/>
  <c r="F18" i="10"/>
  <c r="F23" i="10"/>
  <c r="F20" i="5"/>
  <c r="F19" i="5"/>
  <c r="E24" i="5"/>
  <c r="F21" i="5"/>
  <c r="F22" i="5"/>
  <c r="F18" i="5"/>
  <c r="D7" i="12" l="1"/>
  <c r="D19" i="12" s="1"/>
  <c r="D8" i="12"/>
  <c r="D20" i="12" s="1"/>
  <c r="F28" i="5"/>
  <c r="F31" i="5"/>
  <c r="F32" i="5"/>
  <c r="E39" i="5"/>
  <c r="F27" i="5"/>
  <c r="F33" i="5"/>
  <c r="F30" i="5"/>
  <c r="F29" i="5"/>
  <c r="F26" i="5"/>
  <c r="F32" i="10"/>
  <c r="F35" i="10"/>
  <c r="E42" i="10"/>
  <c r="F28" i="10"/>
  <c r="F36" i="10"/>
  <c r="F29" i="10"/>
  <c r="F30" i="10"/>
  <c r="F33" i="10"/>
  <c r="F31" i="10"/>
  <c r="F27" i="10"/>
  <c r="I21" i="6" l="1"/>
  <c r="I16" i="6"/>
  <c r="I10" i="6"/>
  <c r="I11" i="6"/>
  <c r="I8" i="6"/>
  <c r="I20" i="6"/>
  <c r="I15" i="6"/>
  <c r="I14" i="6"/>
  <c r="I6" i="6"/>
  <c r="I13" i="6"/>
  <c r="I12" i="6"/>
  <c r="I19" i="6"/>
  <c r="I7" i="6"/>
  <c r="I18" i="6"/>
  <c r="I17" i="6"/>
  <c r="I9" i="6"/>
  <c r="D13" i="6"/>
  <c r="G13" i="6"/>
  <c r="H10" i="6"/>
  <c r="D17" i="6"/>
  <c r="E21" i="6"/>
  <c r="H6" i="6"/>
  <c r="D12" i="6"/>
  <c r="D20" i="6"/>
  <c r="J20" i="6" s="1"/>
  <c r="H18" i="6"/>
  <c r="H21" i="6"/>
  <c r="D11" i="6"/>
  <c r="D19" i="6"/>
  <c r="G18" i="6"/>
  <c r="E13" i="6"/>
  <c r="G12" i="6"/>
  <c r="G8" i="6"/>
  <c r="E9" i="6"/>
  <c r="E17" i="6"/>
  <c r="D7" i="6"/>
  <c r="D10" i="6"/>
  <c r="F18" i="6"/>
  <c r="F15" i="6"/>
  <c r="G16" i="6"/>
  <c r="F8" i="6"/>
  <c r="F12" i="6"/>
  <c r="E12" i="6"/>
  <c r="G19" i="6"/>
  <c r="G6" i="6"/>
  <c r="H14" i="6"/>
  <c r="F6" i="6"/>
  <c r="F10" i="6"/>
  <c r="H8" i="6"/>
  <c r="D15" i="6"/>
  <c r="E8" i="6"/>
  <c r="G14" i="6"/>
  <c r="G21" i="6"/>
  <c r="H15" i="6"/>
  <c r="D14" i="6"/>
  <c r="J14" i="6" s="1"/>
  <c r="H7" i="6"/>
  <c r="F9" i="6"/>
  <c r="H19" i="6"/>
  <c r="E7" i="6"/>
  <c r="E6" i="6"/>
  <c r="E10" i="6"/>
  <c r="F13" i="6"/>
  <c r="H16" i="6"/>
  <c r="D6" i="6"/>
  <c r="F11" i="6"/>
  <c r="F17" i="6"/>
  <c r="E11" i="6"/>
  <c r="H17" i="6"/>
  <c r="F19" i="6"/>
  <c r="E16" i="6"/>
  <c r="E18" i="6"/>
  <c r="G7" i="6"/>
  <c r="D18" i="6"/>
  <c r="J18" i="6" s="1"/>
  <c r="D8" i="6"/>
  <c r="H11" i="6"/>
  <c r="E14" i="6"/>
  <c r="F21" i="6"/>
  <c r="D21" i="6"/>
  <c r="J21" i="6" s="1"/>
  <c r="E19" i="6"/>
  <c r="D16" i="6"/>
  <c r="F7" i="6"/>
  <c r="E15" i="6"/>
  <c r="H20" i="6"/>
  <c r="G10" i="6"/>
  <c r="G20" i="6"/>
  <c r="E20" i="6"/>
  <c r="D9" i="6"/>
  <c r="G9" i="6"/>
  <c r="H12" i="6"/>
  <c r="H13" i="6"/>
  <c r="F14" i="6"/>
  <c r="G11" i="6"/>
  <c r="F16" i="6"/>
  <c r="F20" i="6"/>
  <c r="H9" i="6"/>
  <c r="G17" i="6"/>
  <c r="G15" i="6"/>
  <c r="G22" i="6" s="1"/>
  <c r="D11" i="12"/>
  <c r="D23" i="12" s="1"/>
  <c r="D28" i="12"/>
  <c r="D12" i="12"/>
  <c r="D24" i="12" s="1"/>
  <c r="D29" i="12"/>
  <c r="L35" i="10"/>
  <c r="C35" i="10" s="1"/>
  <c r="J16" i="6" l="1"/>
  <c r="J6" i="6"/>
  <c r="D22" i="6"/>
  <c r="J12" i="6"/>
  <c r="F22" i="6"/>
  <c r="H22" i="6"/>
  <c r="J10" i="6"/>
  <c r="J19" i="6"/>
  <c r="J17" i="6"/>
  <c r="J9" i="6"/>
  <c r="J7" i="6"/>
  <c r="J11" i="6"/>
  <c r="E22" i="6"/>
  <c r="J8" i="6"/>
  <c r="J15" i="6"/>
  <c r="J13" i="6"/>
  <c r="I22" i="6"/>
  <c r="G29" i="12"/>
  <c r="F29" i="12"/>
  <c r="E29" i="12"/>
  <c r="G28" i="12"/>
  <c r="F28" i="12"/>
  <c r="E28" i="12"/>
  <c r="J22" i="6" l="1"/>
</calcChain>
</file>

<file path=xl/sharedStrings.xml><?xml version="1.0" encoding="utf-8"?>
<sst xmlns="http://schemas.openxmlformats.org/spreadsheetml/2006/main" count="766" uniqueCount="279">
  <si>
    <t>Klantnaam</t>
  </si>
  <si>
    <t>Locatie</t>
  </si>
  <si>
    <t>Ruimtesoort</t>
  </si>
  <si>
    <t>Etage</t>
  </si>
  <si>
    <t>Ruimtenr</t>
  </si>
  <si>
    <t>Ruimte</t>
  </si>
  <si>
    <t>Vloerafwerking</t>
  </si>
  <si>
    <t>Opp. in m²</t>
  </si>
  <si>
    <t>Freq</t>
  </si>
  <si>
    <t>Sanitair</t>
  </si>
  <si>
    <t>Kantoor</t>
  </si>
  <si>
    <t>Entree</t>
  </si>
  <si>
    <t>Restauratief</t>
  </si>
  <si>
    <t>Groepsruimte</t>
  </si>
  <si>
    <t>Representatief</t>
  </si>
  <si>
    <t>Acceptatie        frequentie</t>
  </si>
  <si>
    <t>Verkeersruimte</t>
  </si>
  <si>
    <t>Zorgruimte</t>
  </si>
  <si>
    <t>TOTAAL M²                locatie</t>
  </si>
  <si>
    <t xml:space="preserve"> </t>
  </si>
  <si>
    <t>%</t>
  </si>
  <si>
    <t>€</t>
  </si>
  <si>
    <t>Basis uurloon Nulsituatie</t>
  </si>
  <si>
    <t xml:space="preserve">  </t>
  </si>
  <si>
    <t xml:space="preserve">Vakantietoeslag </t>
  </si>
  <si>
    <t>Eindejaars uitkering</t>
  </si>
  <si>
    <t>Bruto uurloon inclusief toeslagen</t>
  </si>
  <si>
    <t>SV-loon grondslag voor berekening sociale verzekeringen</t>
  </si>
  <si>
    <t>Premies Sociale Verzekeringen</t>
  </si>
  <si>
    <t>Subtotaal loonkosten per uur inclusief sociale verzekeringen</t>
  </si>
  <si>
    <t>Opslag niet werkbare dagen</t>
  </si>
  <si>
    <t>Totaal loonkosten per uur</t>
  </si>
  <si>
    <t>Materiaal/- en middelen</t>
  </si>
  <si>
    <t>Afvalzakken</t>
  </si>
  <si>
    <t>Werkkleding en uitrusting</t>
  </si>
  <si>
    <t>Machinekosten</t>
  </si>
  <si>
    <t>Eventueel zelf invullen</t>
  </si>
  <si>
    <t>Totaal directe kosten</t>
  </si>
  <si>
    <t>Toezicht ( objectleiding / niet meewerkend toezicht )</t>
  </si>
  <si>
    <t>Managementkosten</t>
  </si>
  <si>
    <t>P.Z. kosten</t>
  </si>
  <si>
    <t>Opleiding</t>
  </si>
  <si>
    <t>Administratiekosten</t>
  </si>
  <si>
    <t>Huisvestingskosten</t>
  </si>
  <si>
    <t>Kosten verzuimbegeleiding</t>
  </si>
  <si>
    <t>Totaal indirecte kosten</t>
  </si>
  <si>
    <t>Risico en winst</t>
  </si>
  <si>
    <t>Offerte tarief</t>
  </si>
  <si>
    <t>Lokaal</t>
  </si>
  <si>
    <t>Pantry</t>
  </si>
  <si>
    <t>Publieksruimte</t>
  </si>
  <si>
    <t>Sportzaal</t>
  </si>
  <si>
    <t>Woonunit</t>
  </si>
  <si>
    <t>Niet in Onderhoud</t>
  </si>
  <si>
    <t>Totaal</t>
  </si>
  <si>
    <t>Ruimtesoorten</t>
  </si>
  <si>
    <t>inhoud kolom wel/niet zichtbaar</t>
  </si>
  <si>
    <t>Minimale taak</t>
  </si>
  <si>
    <t>Aanvulling tot minimale taak</t>
  </si>
  <si>
    <t>tbv Ruimtestaat</t>
  </si>
  <si>
    <t>Gemiddelde norm</t>
  </si>
  <si>
    <t>Totale m2 per jaar</t>
  </si>
  <si>
    <t>totaal uren per jaar</t>
  </si>
  <si>
    <t>Reiskosten</t>
  </si>
  <si>
    <t>Naam klant</t>
  </si>
  <si>
    <t>Eerste letter</t>
  </si>
  <si>
    <t>Kosten SMC Beheer</t>
  </si>
  <si>
    <t>Overzicht SMC Calculatie</t>
  </si>
  <si>
    <t>Gecalculeerde uren:</t>
  </si>
  <si>
    <t>Uren SMO</t>
  </si>
  <si>
    <t>Uren Olga</t>
  </si>
  <si>
    <t>Overzicht kosten</t>
  </si>
  <si>
    <t>Kosten SMO</t>
  </si>
  <si>
    <t>Kosten Olga</t>
  </si>
  <si>
    <t>Overzicht kosten Kwaliteit</t>
  </si>
  <si>
    <t>QC SMO</t>
  </si>
  <si>
    <t>QC Olga</t>
  </si>
  <si>
    <t>Kosten per uur</t>
  </si>
  <si>
    <t>Kwaliteit SMO per uur</t>
  </si>
  <si>
    <t>Kwaliteit Olga per uur</t>
  </si>
  <si>
    <t>Overzicht kosten Beheer</t>
  </si>
  <si>
    <t>SMO</t>
  </si>
  <si>
    <t>Olga</t>
  </si>
  <si>
    <t xml:space="preserve">Uurtarief </t>
  </si>
  <si>
    <t>Offerte</t>
  </si>
  <si>
    <t>Offerte Olga</t>
  </si>
  <si>
    <t>Incl</t>
  </si>
  <si>
    <t>Excl QC</t>
  </si>
  <si>
    <t>Excl FS</t>
  </si>
  <si>
    <t>Excl QC/FS</t>
  </si>
  <si>
    <t>TOTAAL PER         LOCATIE</t>
  </si>
  <si>
    <t>Uniek</t>
  </si>
  <si>
    <t>loca</t>
  </si>
  <si>
    <t>Kosten SMC Kwaliteit</t>
  </si>
  <si>
    <t>Minimale taakgrootte</t>
  </si>
  <si>
    <t>Nautische centrale</t>
  </si>
  <si>
    <t>Provincie Zeeland</t>
  </si>
  <si>
    <t>Steunpunt Brouwershaven</t>
  </si>
  <si>
    <t>Begane Grond</t>
  </si>
  <si>
    <t>BH-V-001</t>
  </si>
  <si>
    <t>Hal</t>
  </si>
  <si>
    <t>BH-S-001</t>
  </si>
  <si>
    <t>BH-K-001</t>
  </si>
  <si>
    <t>Steunpunt Zeelandbrug</t>
  </si>
  <si>
    <t>CPZ-V-001</t>
  </si>
  <si>
    <t>CPZ-S-001</t>
  </si>
  <si>
    <t>CPZ-K-002</t>
  </si>
  <si>
    <t>CPZ-K-001</t>
  </si>
  <si>
    <t>Steunpunt Rilland</t>
  </si>
  <si>
    <t>RL-K-001</t>
  </si>
  <si>
    <t>PL-S-001</t>
  </si>
  <si>
    <t xml:space="preserve">Toilet </t>
  </si>
  <si>
    <t>Steunpunt Sint Philipsland</t>
  </si>
  <si>
    <t>SPL-V-001</t>
  </si>
  <si>
    <t>SPL-VS-001</t>
  </si>
  <si>
    <t>Toilet</t>
  </si>
  <si>
    <t>SPL-K-001</t>
  </si>
  <si>
    <t>SPL-K-002</t>
  </si>
  <si>
    <t>Kamer 1</t>
  </si>
  <si>
    <t>SPL-K-003</t>
  </si>
  <si>
    <t xml:space="preserve">Kantine </t>
  </si>
  <si>
    <t>Steuntpunt Serooskerke</t>
  </si>
  <si>
    <t>SK-V-001</t>
  </si>
  <si>
    <t>SK-V-003</t>
  </si>
  <si>
    <t>Hal 2</t>
  </si>
  <si>
    <t>SK-S-001</t>
  </si>
  <si>
    <t>SK-S-002</t>
  </si>
  <si>
    <t>SK-S-003</t>
  </si>
  <si>
    <t>Keuken</t>
  </si>
  <si>
    <t>SK-K-001</t>
  </si>
  <si>
    <t>SK-K-002</t>
  </si>
  <si>
    <t>SK-K-003</t>
  </si>
  <si>
    <t>Steunpunt Ritthem</t>
  </si>
  <si>
    <t>RTH-V-001</t>
  </si>
  <si>
    <t>RTH-S-001</t>
  </si>
  <si>
    <t>RTH-K-001</t>
  </si>
  <si>
    <t>RTH-K-002</t>
  </si>
  <si>
    <t>Steunpunt 's Heer Arendskerke</t>
  </si>
  <si>
    <t>SHA-S-001</t>
  </si>
  <si>
    <t>SHA-V-001</t>
  </si>
  <si>
    <t>SHA-K-001</t>
  </si>
  <si>
    <t>Steunpunt Goes</t>
  </si>
  <si>
    <t>GS-V-001</t>
  </si>
  <si>
    <t>GS-S-001</t>
  </si>
  <si>
    <t>GS-K-001</t>
  </si>
  <si>
    <t>Kantine</t>
  </si>
  <si>
    <t>Steunpunt Groede</t>
  </si>
  <si>
    <t>GD-S-001</t>
  </si>
  <si>
    <t>GD-K-001</t>
  </si>
  <si>
    <t>GD-K-002</t>
  </si>
  <si>
    <t>Steunpunt Draaibrug</t>
  </si>
  <si>
    <t>DB-S-001</t>
  </si>
  <si>
    <t>DB-V-001</t>
  </si>
  <si>
    <t>DB-K-001</t>
  </si>
  <si>
    <t>Steunpunt Mauritsfort</t>
  </si>
  <si>
    <t>MF-V-001</t>
  </si>
  <si>
    <t>Voorhal</t>
  </si>
  <si>
    <t>MF-V-002</t>
  </si>
  <si>
    <t>MF-S-001</t>
  </si>
  <si>
    <t>MF-S002</t>
  </si>
  <si>
    <t>Douche</t>
  </si>
  <si>
    <t>MF-K-001</t>
  </si>
  <si>
    <t>MF-K-002</t>
  </si>
  <si>
    <t>MF-K-003</t>
  </si>
  <si>
    <t>MF-K-004</t>
  </si>
  <si>
    <t>Vergaderruimte</t>
  </si>
  <si>
    <t>MF-K-005</t>
  </si>
  <si>
    <t>Steunpunt Drieschouwen</t>
  </si>
  <si>
    <t>DS-V-001</t>
  </si>
  <si>
    <t>DS-S-001</t>
  </si>
  <si>
    <t>DS-S-002</t>
  </si>
  <si>
    <t>Urinoir</t>
  </si>
  <si>
    <t>DS-K-001</t>
  </si>
  <si>
    <t>DS-K-002</t>
  </si>
  <si>
    <t>Steunpunt Colijnsplaat</t>
  </si>
  <si>
    <t>CP-S-001</t>
  </si>
  <si>
    <t>CP-V-001</t>
  </si>
  <si>
    <t>CP-K-001</t>
  </si>
  <si>
    <t>Steunpunt Veere</t>
  </si>
  <si>
    <t>VR-V-001</t>
  </si>
  <si>
    <t>VR-S-001</t>
  </si>
  <si>
    <t>VR-K-001</t>
  </si>
  <si>
    <t>VR-K-002</t>
  </si>
  <si>
    <t>Sluizencomplex</t>
  </si>
  <si>
    <t>VRS-V-001</t>
  </si>
  <si>
    <t>VRS-V-002</t>
  </si>
  <si>
    <t>VRS-S-001</t>
  </si>
  <si>
    <t>VRS-K-201</t>
  </si>
  <si>
    <t>Bedieningsruimte</t>
  </si>
  <si>
    <t>VS-V-001</t>
  </si>
  <si>
    <t>VS-V-002</t>
  </si>
  <si>
    <t>Trap</t>
  </si>
  <si>
    <t>VS-K-001</t>
  </si>
  <si>
    <t>VS-V-003</t>
  </si>
  <si>
    <t>VS-K-201</t>
  </si>
  <si>
    <t>VS-S-201</t>
  </si>
  <si>
    <t>Vs-S-202</t>
  </si>
  <si>
    <t>Toilet 2</t>
  </si>
  <si>
    <t>VS-K-202</t>
  </si>
  <si>
    <t>1E Etage</t>
  </si>
  <si>
    <t>Provincie Zeeland, Steunpunt Brouwershaven, BH-V-001</t>
  </si>
  <si>
    <t>Provincie Zeeland, Steunpunt Brouwershaven, BH-S-001</t>
  </si>
  <si>
    <t>Provincie Zeeland, Steunpunt Brouwershaven, BH-K-001</t>
  </si>
  <si>
    <t>Provincie Zeeland, Steunpunt Zeelandbrug, CPZ-V-001</t>
  </si>
  <si>
    <t>Provincie Zeeland, Steunpunt Zeelandbrug, CPZ-S-001</t>
  </si>
  <si>
    <t>Provincie Zeeland, Steunpunt Zeelandbrug, CPZ-K-002</t>
  </si>
  <si>
    <t>Provincie Zeeland, Steunpunt Zeelandbrug, CPZ-K-001</t>
  </si>
  <si>
    <t>Provincie Zeeland, Steunpunt Rilland, RL-K-001</t>
  </si>
  <si>
    <t>Provincie Zeeland, Steunpunt Rilland, PL-S-001</t>
  </si>
  <si>
    <t>Provincie Zeeland, Steunpunt Sint Philipsland, SPL-V-001</t>
  </si>
  <si>
    <t>Provincie Zeeland, Steunpunt Sint Philipsland, SPL-VS-001</t>
  </si>
  <si>
    <t>Provincie Zeeland, Steunpunt Sint Philipsland, SPL-K-001</t>
  </si>
  <si>
    <t>Provincie Zeeland, Steunpunt Sint Philipsland, SPL-K-002</t>
  </si>
  <si>
    <t>Provincie Zeeland, Steunpunt Sint Philipsland, SPL-K-003</t>
  </si>
  <si>
    <t>Provincie Zeeland, Steuntpunt Serooskerke, SK-V-001</t>
  </si>
  <si>
    <t>Provincie Zeeland, Steuntpunt Serooskerke, SK-V-003</t>
  </si>
  <si>
    <t>Provincie Zeeland, Steuntpunt Serooskerke, SK-S-001</t>
  </si>
  <si>
    <t>Provincie Zeeland, Steuntpunt Serooskerke, SK-S-002</t>
  </si>
  <si>
    <t>Provincie Zeeland, Steuntpunt Serooskerke, SK-S-003</t>
  </si>
  <si>
    <t>Provincie Zeeland, Steuntpunt Serooskerke, SK-K-001</t>
  </si>
  <si>
    <t>Provincie Zeeland, Steuntpunt Serooskerke, SK-K-002</t>
  </si>
  <si>
    <t>Provincie Zeeland, Steuntpunt Serooskerke, SK-K-003</t>
  </si>
  <si>
    <t>Provincie Zeeland, Steunpunt Ritthem, RTH-V-001</t>
  </si>
  <si>
    <t>Provincie Zeeland, Steunpunt Ritthem, RTH-S-001</t>
  </si>
  <si>
    <t>Provincie Zeeland, Steunpunt Ritthem, RTH-K-001</t>
  </si>
  <si>
    <t>Provincie Zeeland, Steunpunt Ritthem, RTH-K-002</t>
  </si>
  <si>
    <t>Provincie Zeeland, Steunpunt 's Heer Arendskerke, SHA-S-001</t>
  </si>
  <si>
    <t>Provincie Zeeland, Steunpunt 's Heer Arendskerke, SHA-V-001</t>
  </si>
  <si>
    <t>Provincie Zeeland, Steunpunt 's Heer Arendskerke, SHA-K-001</t>
  </si>
  <si>
    <t>Provincie Zeeland, Steunpunt Goes, GS-V-001</t>
  </si>
  <si>
    <t>Provincie Zeeland, Steunpunt Goes, GS-S-001</t>
  </si>
  <si>
    <t>Provincie Zeeland, Steunpunt Goes, GS-K-001</t>
  </si>
  <si>
    <t>Provincie Zeeland, Steunpunt Groede, GD-S-001</t>
  </si>
  <si>
    <t>Provincie Zeeland, Steunpunt Groede, GD-K-001</t>
  </si>
  <si>
    <t>Provincie Zeeland, Steunpunt Groede, GD-K-002</t>
  </si>
  <si>
    <t>Provincie Zeeland, Steunpunt Draaibrug, DB-S-001</t>
  </si>
  <si>
    <t>Provincie Zeeland, Steunpunt Draaibrug, DB-V-001</t>
  </si>
  <si>
    <t>Provincie Zeeland, Steunpunt Draaibrug, DB-K-001</t>
  </si>
  <si>
    <t>Provincie Zeeland, Steunpunt Mauritsfort, MF-V-001</t>
  </si>
  <si>
    <t>Provincie Zeeland, Steunpunt Mauritsfort, MF-V-002</t>
  </si>
  <si>
    <t>Provincie Zeeland, Steunpunt Mauritsfort, MF-S-001</t>
  </si>
  <si>
    <t>Provincie Zeeland, Steunpunt Mauritsfort, MF-S002</t>
  </si>
  <si>
    <t>Provincie Zeeland, Steunpunt Mauritsfort, MF-K-001</t>
  </si>
  <si>
    <t>Provincie Zeeland, Steunpunt Mauritsfort, MF-K-002</t>
  </si>
  <si>
    <t>Provincie Zeeland, Steunpunt Mauritsfort, MF-K-003</t>
  </si>
  <si>
    <t>Provincie Zeeland, Steunpunt Mauritsfort, MF-K-004</t>
  </si>
  <si>
    <t>Provincie Zeeland, Steunpunt Mauritsfort, MF-K-005</t>
  </si>
  <si>
    <t>Provincie Zeeland, Steunpunt Drieschouwen, DS-V-001</t>
  </si>
  <si>
    <t>Provincie Zeeland, Steunpunt Drieschouwen, DS-S-001</t>
  </si>
  <si>
    <t>Provincie Zeeland, Steunpunt Drieschouwen, DS-S-002</t>
  </si>
  <si>
    <t>Provincie Zeeland, Steunpunt Drieschouwen, DS-K-001</t>
  </si>
  <si>
    <t>Provincie Zeeland, Steunpunt Drieschouwen, DS-K-002</t>
  </si>
  <si>
    <t>Provincie Zeeland, Steunpunt Colijnsplaat, CP-S-001</t>
  </si>
  <si>
    <t>Provincie Zeeland, Steunpunt Colijnsplaat, CP-V-001</t>
  </si>
  <si>
    <t>Provincie Zeeland, Steunpunt Colijnsplaat, CP-K-001</t>
  </si>
  <si>
    <t>Provincie Zeeland, Steunpunt Veere, VR-V-001</t>
  </si>
  <si>
    <t>Provincie Zeeland, Steunpunt Veere, VR-S-001</t>
  </si>
  <si>
    <t>Provincie Zeeland, Steunpunt Veere, VR-K-001</t>
  </si>
  <si>
    <t>Provincie Zeeland, Steunpunt Veere, VR-K-002</t>
  </si>
  <si>
    <t>Provincie Zeeland, Sluizencomplex, VRS-V-001</t>
  </si>
  <si>
    <t>Provincie Zeeland, Sluizencomplex, VRS-V-002</t>
  </si>
  <si>
    <t>Provincie Zeeland, Sluizencomplex, VRS-S-001</t>
  </si>
  <si>
    <t>Provincie Zeeland, Sluizencomplex, VRS-K-201</t>
  </si>
  <si>
    <t>Provincie Zeeland, Nautische centrale, VS-V-001</t>
  </si>
  <si>
    <t>Provincie Zeeland, Nautische centrale, VS-V-002</t>
  </si>
  <si>
    <t>Provincie Zeeland, Nautische centrale, VS-K-001</t>
  </si>
  <si>
    <t>Provincie Zeeland, Nautische centrale, VS-V-003</t>
  </si>
  <si>
    <t>Provincie Zeeland, Nautische centrale, VS-K-201</t>
  </si>
  <si>
    <t>Provincie Zeeland, Nautische centrale, VS-S-201</t>
  </si>
  <si>
    <t>Provincie Zeeland, Nautische centrale, Vs-S-202</t>
  </si>
  <si>
    <t>Provincie Zeeland, Nautische centrale, VS-K-202</t>
  </si>
  <si>
    <t>Toilet/Douche</t>
  </si>
  <si>
    <t>Kantine/Keuken</t>
  </si>
  <si>
    <t>Wasruimte Toilet En Urinoir</t>
  </si>
  <si>
    <t>Hal Met Pantry</t>
  </si>
  <si>
    <t>Hal/Wenteltrap</t>
  </si>
  <si>
    <t>Kantoor Bg</t>
  </si>
  <si>
    <t>Hal 2 + Trap</t>
  </si>
  <si>
    <t>Gemiddelde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</si>
</sst>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0.000%"/>
    <numFmt numFmtId="167" formatCode="_-* #,##0.00_-;\-* #,##0.00_-;_-* &quot;-&quot;??_-;_-@_-"/>
    <numFmt numFmtId="168" formatCode="_-&quot;€&quot;\ * #,##0.00000_-;_-&quot;€&quot;\ * #,##0.00000\-;_-&quot;€&quot;\ * &quot;-&quot;??_-;_-@_-"/>
    <numFmt numFmtId="169" formatCode="_(&quot;ƒ&quot;* #,##0.00_);_(&quot;ƒ&quot;* \(#,##0.00\);_(&quot;ƒ&quot;* &quot;-&quot;??_);_(@_)"/>
    <numFmt numFmtId="170" formatCode="0.0"/>
    <numFmt numFmtId="171" formatCode="_-* #,##0.0_-;_-* #,##0.0\-;_-* &quot;-&quot;??_-;_-@_-"/>
    <numFmt numFmtId="172" formatCode="_ * #,##0.0_ ;_ * \-#,##0.0_ ;_ * &quot;-&quot;?_ ;_ @_ "/>
  </numFmts>
  <fonts count="30" x14ac:knownFonts="1">
    <font>
      <sz val="10"/>
      <name val="Arial"/>
    </font>
    <font>
      <sz val="10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color indexed="9"/>
      <name val="Verdana"/>
      <family val="2"/>
    </font>
    <font>
      <b/>
      <sz val="12"/>
      <color indexed="9"/>
      <name val="Verdana"/>
      <family val="2"/>
    </font>
    <font>
      <sz val="10"/>
      <name val="Helv"/>
    </font>
    <font>
      <b/>
      <sz val="8"/>
      <color indexed="18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b/>
      <sz val="9"/>
      <color indexed="20"/>
      <name val="Verdana"/>
      <family val="2"/>
    </font>
    <font>
      <b/>
      <sz val="9"/>
      <color indexed="18"/>
      <name val="Verdana"/>
      <family val="2"/>
    </font>
    <font>
      <sz val="12"/>
      <name val="Verdana"/>
      <family val="2"/>
    </font>
    <font>
      <b/>
      <sz val="10"/>
      <color indexed="18"/>
      <name val="Verdana"/>
      <family val="2"/>
    </font>
    <font>
      <sz val="9"/>
      <color indexed="8"/>
      <name val="Verdana"/>
      <family val="2"/>
    </font>
    <font>
      <sz val="9"/>
      <color indexed="18"/>
      <name val="Verdana"/>
      <family val="2"/>
    </font>
    <font>
      <sz val="9"/>
      <color indexed="10"/>
      <name val="Verdana"/>
      <family val="2"/>
    </font>
    <font>
      <b/>
      <i/>
      <sz val="10"/>
      <name val="Verdana"/>
      <family val="2"/>
    </font>
    <font>
      <sz val="10"/>
      <color indexed="10"/>
      <name val="Verdana"/>
      <family val="2"/>
    </font>
    <font>
      <sz val="10"/>
      <name val="Times"/>
      <family val="1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8"/>
      <color theme="0"/>
      <name val="Verdana"/>
      <family val="2"/>
    </font>
    <font>
      <sz val="9"/>
      <color theme="0"/>
      <name val="Verdan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0"/>
      </patternFill>
    </fill>
    <fill>
      <patternFill patternType="solid">
        <fgColor rgb="FF00008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9" fillId="0" borderId="0"/>
    <xf numFmtId="167" fontId="9" fillId="0" borderId="0" applyFont="0" applyFill="0" applyBorder="0" applyAlignment="0" applyProtection="0"/>
    <xf numFmtId="169" fontId="22" fillId="0" borderId="0" applyFont="0" applyFill="0" applyBorder="0" applyAlignment="0" applyProtection="0"/>
  </cellStyleXfs>
  <cellXfs count="181">
    <xf numFmtId="0" fontId="0" fillId="0" borderId="0" xfId="0"/>
    <xf numFmtId="0" fontId="5" fillId="0" borderId="0" xfId="0" applyFont="1" applyProtection="1">
      <protection hidden="1"/>
    </xf>
    <xf numFmtId="4" fontId="5" fillId="0" borderId="0" xfId="0" applyNumberFormat="1" applyFont="1" applyAlignment="1" applyProtection="1">
      <alignment vertical="center"/>
      <protection hidden="1"/>
    </xf>
    <xf numFmtId="166" fontId="7" fillId="0" borderId="0" xfId="3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2" fontId="10" fillId="0" borderId="12" xfId="6" applyNumberFormat="1" applyFont="1" applyFill="1" applyBorder="1" applyAlignment="1" applyProtection="1">
      <alignment horizontal="center" vertical="center"/>
      <protection hidden="1"/>
    </xf>
    <xf numFmtId="2" fontId="11" fillId="0" borderId="13" xfId="6" applyNumberFormat="1" applyFont="1" applyFill="1" applyBorder="1" applyAlignment="1" applyProtection="1">
      <alignment horizontal="center" vertical="center"/>
      <protection hidden="1"/>
    </xf>
    <xf numFmtId="166" fontId="7" fillId="0" borderId="14" xfId="3" applyNumberFormat="1" applyFont="1" applyFill="1" applyBorder="1" applyAlignment="1" applyProtection="1">
      <alignment horizontal="center" vertical="center"/>
      <protection hidden="1"/>
    </xf>
    <xf numFmtId="0" fontId="12" fillId="0" borderId="0" xfId="6" applyNumberFormat="1" applyFont="1" applyFill="1" applyBorder="1" applyAlignment="1" applyProtection="1">
      <alignment horizontal="right" vertical="center"/>
      <protection hidden="1"/>
    </xf>
    <xf numFmtId="2" fontId="13" fillId="0" borderId="12" xfId="6" applyNumberFormat="1" applyFont="1" applyFill="1" applyBorder="1" applyAlignment="1" applyProtection="1">
      <alignment horizontal="center" vertical="center"/>
      <protection hidden="1"/>
    </xf>
    <xf numFmtId="2" fontId="14" fillId="0" borderId="13" xfId="6" applyNumberFormat="1" applyFont="1" applyFill="1" applyBorder="1" applyAlignment="1" applyProtection="1">
      <alignment horizontal="right" vertical="center"/>
      <protection hidden="1"/>
    </xf>
    <xf numFmtId="166" fontId="7" fillId="0" borderId="15" xfId="3" applyNumberFormat="1" applyFont="1" applyFill="1" applyBorder="1" applyAlignment="1" applyProtection="1">
      <alignment horizontal="center" vertical="center"/>
      <protection hidden="1"/>
    </xf>
    <xf numFmtId="0" fontId="15" fillId="0" borderId="0" xfId="1" applyNumberFormat="1" applyFont="1" applyFill="1" applyBorder="1" applyProtection="1">
      <protection hidden="1"/>
    </xf>
    <xf numFmtId="0" fontId="16" fillId="0" borderId="11" xfId="5" applyFont="1" applyBorder="1" applyProtection="1">
      <protection hidden="1"/>
    </xf>
    <xf numFmtId="0" fontId="17" fillId="0" borderId="12" xfId="5" applyFont="1" applyBorder="1" applyProtection="1">
      <protection hidden="1"/>
    </xf>
    <xf numFmtId="0" fontId="18" fillId="0" borderId="13" xfId="5" applyFont="1" applyBorder="1" applyAlignment="1" applyProtection="1">
      <alignment horizontal="right"/>
      <protection hidden="1"/>
    </xf>
    <xf numFmtId="166" fontId="7" fillId="0" borderId="10" xfId="3" applyNumberFormat="1" applyFont="1" applyFill="1" applyBorder="1" applyAlignment="1" applyProtection="1">
      <alignment horizontal="center" vertical="center"/>
      <protection hidden="1"/>
    </xf>
    <xf numFmtId="0" fontId="19" fillId="0" borderId="12" xfId="5" applyFont="1" applyBorder="1" applyAlignment="1" applyProtection="1">
      <alignment horizontal="right"/>
      <protection hidden="1"/>
    </xf>
    <xf numFmtId="10" fontId="19" fillId="0" borderId="12" xfId="5" applyNumberFormat="1" applyFont="1" applyBorder="1" applyAlignment="1" applyProtection="1">
      <alignment horizontal="right"/>
      <protection hidden="1"/>
    </xf>
    <xf numFmtId="0" fontId="15" fillId="0" borderId="0" xfId="3" applyNumberFormat="1" applyFont="1" applyFill="1" applyBorder="1" applyProtection="1">
      <protection hidden="1"/>
    </xf>
    <xf numFmtId="0" fontId="6" fillId="0" borderId="11" xfId="5" applyFont="1" applyBorder="1" applyProtection="1">
      <protection hidden="1"/>
    </xf>
    <xf numFmtId="0" fontId="17" fillId="0" borderId="12" xfId="5" applyFont="1" applyBorder="1" applyAlignment="1" applyProtection="1">
      <alignment horizontal="center"/>
      <protection hidden="1"/>
    </xf>
    <xf numFmtId="166" fontId="11" fillId="0" borderId="13" xfId="5" applyNumberFormat="1" applyFont="1" applyBorder="1" applyAlignment="1" applyProtection="1">
      <alignment horizontal="right"/>
      <protection hidden="1"/>
    </xf>
    <xf numFmtId="166" fontId="7" fillId="0" borderId="10" xfId="3" applyNumberFormat="1" applyFont="1" applyFill="1" applyBorder="1" applyAlignment="1" applyProtection="1">
      <alignment horizontal="center"/>
      <protection hidden="1"/>
    </xf>
    <xf numFmtId="0" fontId="20" fillId="0" borderId="11" xfId="5" applyFont="1" applyBorder="1" applyProtection="1">
      <protection hidden="1"/>
    </xf>
    <xf numFmtId="167" fontId="17" fillId="0" borderId="12" xfId="5" applyNumberFormat="1" applyFont="1" applyBorder="1" applyAlignment="1" applyProtection="1">
      <alignment horizontal="center"/>
      <protection hidden="1"/>
    </xf>
    <xf numFmtId="164" fontId="8" fillId="0" borderId="11" xfId="1" applyFont="1" applyFill="1" applyBorder="1" applyProtection="1">
      <protection hidden="1"/>
    </xf>
    <xf numFmtId="0" fontId="21" fillId="0" borderId="12" xfId="5" applyFont="1" applyBorder="1" applyAlignment="1" applyProtection="1">
      <alignment horizontal="center"/>
      <protection hidden="1"/>
    </xf>
    <xf numFmtId="10" fontId="18" fillId="0" borderId="13" xfId="3" applyNumberFormat="1" applyFont="1" applyFill="1" applyBorder="1" applyAlignment="1" applyProtection="1">
      <alignment horizontal="right"/>
      <protection hidden="1"/>
    </xf>
    <xf numFmtId="166" fontId="7" fillId="0" borderId="10" xfId="3" applyNumberFormat="1" applyFont="1" applyBorder="1" applyProtection="1">
      <protection hidden="1"/>
    </xf>
    <xf numFmtId="167" fontId="17" fillId="0" borderId="12" xfId="5" applyNumberFormat="1" applyFont="1" applyBorder="1" applyProtection="1">
      <protection hidden="1"/>
    </xf>
    <xf numFmtId="167" fontId="18" fillId="0" borderId="13" xfId="5" applyNumberFormat="1" applyFont="1" applyBorder="1" applyAlignment="1" applyProtection="1">
      <alignment horizontal="right"/>
      <protection hidden="1"/>
    </xf>
    <xf numFmtId="166" fontId="7" fillId="0" borderId="16" xfId="3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64" fontId="5" fillId="0" borderId="0" xfId="1" applyFont="1" applyAlignment="1" applyProtection="1">
      <alignment vertical="center"/>
      <protection hidden="1"/>
    </xf>
    <xf numFmtId="0" fontId="24" fillId="0" borderId="0" xfId="0" applyFont="1" applyProtection="1">
      <protection hidden="1"/>
    </xf>
    <xf numFmtId="0" fontId="24" fillId="0" borderId="0" xfId="0" applyFont="1" applyAlignment="1" applyProtection="1">
      <alignment vertical="center"/>
      <protection hidden="1"/>
    </xf>
    <xf numFmtId="0" fontId="1" fillId="0" borderId="11" xfId="5" applyFont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0" xfId="4" applyFont="1" applyProtection="1">
      <protection hidden="1"/>
    </xf>
    <xf numFmtId="164" fontId="5" fillId="0" borderId="0" xfId="1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0" fontId="26" fillId="0" borderId="0" xfId="4" applyFont="1" applyProtection="1">
      <protection hidden="1"/>
    </xf>
    <xf numFmtId="166" fontId="11" fillId="0" borderId="14" xfId="3" applyNumberFormat="1" applyFont="1" applyFill="1" applyBorder="1" applyProtection="1">
      <protection locked="0" hidden="1"/>
    </xf>
    <xf numFmtId="166" fontId="11" fillId="0" borderId="13" xfId="3" applyNumberFormat="1" applyFont="1" applyFill="1" applyBorder="1" applyProtection="1">
      <protection locked="0" hidden="1"/>
    </xf>
    <xf numFmtId="10" fontId="11" fillId="0" borderId="13" xfId="3" applyNumberFormat="1" applyFont="1" applyFill="1" applyBorder="1" applyProtection="1">
      <protection locked="0" hidden="1"/>
    </xf>
    <xf numFmtId="0" fontId="2" fillId="0" borderId="0" xfId="4" applyFont="1" applyProtection="1">
      <protection locked="0" hidden="1"/>
    </xf>
    <xf numFmtId="0" fontId="4" fillId="0" borderId="0" xfId="4" applyFont="1" applyAlignment="1" applyProtection="1">
      <alignment horizontal="left"/>
      <protection locked="0" hidden="1"/>
    </xf>
    <xf numFmtId="0" fontId="4" fillId="0" borderId="0" xfId="4" applyFont="1" applyAlignment="1" applyProtection="1">
      <alignment horizontal="center"/>
      <protection locked="0" hidden="1"/>
    </xf>
    <xf numFmtId="2" fontId="4" fillId="0" borderId="0" xfId="1" applyNumberFormat="1" applyFont="1" applyAlignment="1" applyProtection="1">
      <alignment horizontal="right"/>
      <protection locked="0" hidden="1"/>
    </xf>
    <xf numFmtId="1" fontId="4" fillId="0" borderId="0" xfId="1" applyNumberFormat="1" applyFont="1" applyAlignment="1" applyProtection="1">
      <alignment horizontal="center"/>
      <protection locked="0" hidden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170" fontId="5" fillId="0" borderId="0" xfId="0" applyNumberFormat="1" applyFont="1" applyProtection="1">
      <protection locked="0"/>
    </xf>
    <xf numFmtId="0" fontId="6" fillId="2" borderId="3" xfId="0" applyFont="1" applyFill="1" applyBorder="1" applyAlignment="1" applyProtection="1">
      <alignment horizontal="center" textRotation="90"/>
      <protection locked="0"/>
    </xf>
    <xf numFmtId="0" fontId="6" fillId="2" borderId="3" xfId="0" applyFont="1" applyFill="1" applyBorder="1" applyAlignment="1" applyProtection="1">
      <alignment horizontal="center" textRotation="90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4" applyFont="1" applyProtection="1">
      <protection locked="0"/>
    </xf>
    <xf numFmtId="0" fontId="4" fillId="0" borderId="0" xfId="1" applyNumberFormat="1" applyFont="1" applyAlignment="1" applyProtection="1">
      <alignment horizontal="center"/>
      <protection locked="0"/>
    </xf>
    <xf numFmtId="164" fontId="5" fillId="0" borderId="0" xfId="1" applyFont="1" applyAlignment="1" applyProtection="1">
      <alignment vertical="center"/>
      <protection locked="0"/>
    </xf>
    <xf numFmtId="0" fontId="26" fillId="0" borderId="0" xfId="4" applyFont="1" applyProtection="1">
      <protection locked="0"/>
    </xf>
    <xf numFmtId="170" fontId="25" fillId="0" borderId="0" xfId="0" applyNumberFormat="1" applyFont="1" applyAlignment="1" applyProtection="1">
      <alignment vertical="center"/>
      <protection locked="0"/>
    </xf>
    <xf numFmtId="170" fontId="12" fillId="0" borderId="0" xfId="0" applyNumberFormat="1" applyFont="1" applyAlignment="1" applyProtection="1">
      <alignment vertical="center"/>
      <protection locked="0"/>
    </xf>
    <xf numFmtId="170" fontId="12" fillId="0" borderId="0" xfId="1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6" fillId="2" borderId="24" xfId="0" applyFont="1" applyFill="1" applyBorder="1" applyAlignment="1" applyProtection="1">
      <alignment horizontal="center" textRotation="90"/>
      <protection hidden="1"/>
    </xf>
    <xf numFmtId="0" fontId="6" fillId="2" borderId="25" xfId="0" applyFont="1" applyFill="1" applyBorder="1" applyAlignment="1" applyProtection="1">
      <alignment horizontal="center" textRotation="90" wrapText="1"/>
      <protection hidden="1"/>
    </xf>
    <xf numFmtId="0" fontId="6" fillId="2" borderId="25" xfId="0" applyFont="1" applyFill="1" applyBorder="1" applyAlignment="1" applyProtection="1">
      <alignment horizontal="center" textRotation="90"/>
      <protection hidden="1"/>
    </xf>
    <xf numFmtId="0" fontId="6" fillId="2" borderId="26" xfId="0" applyFont="1" applyFill="1" applyBorder="1" applyAlignment="1" applyProtection="1">
      <alignment horizontal="center" textRotation="90" wrapText="1"/>
      <protection hidden="1"/>
    </xf>
    <xf numFmtId="0" fontId="5" fillId="0" borderId="17" xfId="0" applyFont="1" applyBorder="1" applyProtection="1">
      <protection hidden="1"/>
    </xf>
    <xf numFmtId="0" fontId="5" fillId="0" borderId="17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vertical="center"/>
      <protection hidden="1"/>
    </xf>
    <xf numFmtId="2" fontId="1" fillId="0" borderId="11" xfId="5" applyNumberFormat="1" applyFont="1" applyBorder="1" applyProtection="1">
      <protection hidden="1"/>
    </xf>
    <xf numFmtId="9" fontId="11" fillId="0" borderId="25" xfId="6" applyNumberFormat="1" applyFont="1" applyFill="1" applyBorder="1" applyAlignment="1" applyProtection="1">
      <alignment horizontal="center"/>
      <protection hidden="1"/>
    </xf>
    <xf numFmtId="0" fontId="1" fillId="0" borderId="0" xfId="6" applyNumberFormat="1" applyFont="1" applyFill="1" applyBorder="1" applyAlignment="1" applyProtection="1">
      <protection hidden="1"/>
    </xf>
    <xf numFmtId="165" fontId="11" fillId="0" borderId="29" xfId="2" applyFont="1" applyFill="1" applyBorder="1" applyProtection="1">
      <protection locked="0" hidden="1"/>
    </xf>
    <xf numFmtId="0" fontId="4" fillId="0" borderId="0" xfId="6" applyNumberFormat="1" applyFont="1" applyFill="1" applyBorder="1" applyAlignment="1" applyProtection="1">
      <alignment horizontal="right" vertical="center"/>
      <protection hidden="1"/>
    </xf>
    <xf numFmtId="165" fontId="11" fillId="0" borderId="25" xfId="2" applyFont="1" applyFill="1" applyBorder="1" applyAlignment="1" applyProtection="1">
      <protection hidden="1"/>
    </xf>
    <xf numFmtId="0" fontId="4" fillId="0" borderId="0" xfId="5" applyFont="1" applyAlignment="1" applyProtection="1">
      <alignment horizontal="right"/>
      <protection hidden="1"/>
    </xf>
    <xf numFmtId="165" fontId="16" fillId="0" borderId="25" xfId="2" applyFont="1" applyFill="1" applyBorder="1" applyAlignment="1" applyProtection="1">
      <protection hidden="1"/>
    </xf>
    <xf numFmtId="10" fontId="4" fillId="0" borderId="12" xfId="5" applyNumberFormat="1" applyFont="1" applyBorder="1" applyAlignment="1" applyProtection="1">
      <alignment horizontal="right"/>
      <protection hidden="1"/>
    </xf>
    <xf numFmtId="0" fontId="1" fillId="0" borderId="11" xfId="1" applyNumberFormat="1" applyFont="1" applyFill="1" applyBorder="1" applyAlignment="1" applyProtection="1">
      <alignment horizontal="left"/>
      <protection locked="0" hidden="1"/>
    </xf>
    <xf numFmtId="165" fontId="11" fillId="0" borderId="29" xfId="2" applyFont="1" applyFill="1" applyBorder="1" applyProtection="1">
      <protection hidden="1"/>
    </xf>
    <xf numFmtId="0" fontId="19" fillId="0" borderId="12" xfId="5" applyFont="1" applyBorder="1" applyAlignment="1" applyProtection="1">
      <alignment horizontal="center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168" fontId="1" fillId="0" borderId="0" xfId="0" applyNumberFormat="1" applyFont="1" applyAlignment="1" applyProtection="1">
      <alignment vertical="center"/>
      <protection hidden="1"/>
    </xf>
    <xf numFmtId="165" fontId="1" fillId="0" borderId="0" xfId="2" applyFont="1" applyAlignment="1" applyProtection="1">
      <alignment vertical="center"/>
      <protection hidden="1"/>
    </xf>
    <xf numFmtId="0" fontId="4" fillId="0" borderId="0" xfId="3" applyNumberFormat="1" applyFont="1" applyFill="1" applyBorder="1" applyAlignment="1" applyProtection="1">
      <alignment horizontal="right"/>
      <protection hidden="1"/>
    </xf>
    <xf numFmtId="0" fontId="1" fillId="0" borderId="0" xfId="7" applyNumberFormat="1" applyFont="1" applyFill="1" applyBorder="1" applyAlignment="1" applyProtection="1">
      <protection hidden="1"/>
    </xf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3" fillId="0" borderId="0" xfId="0" applyFont="1"/>
    <xf numFmtId="171" fontId="3" fillId="0" borderId="0" xfId="1" applyNumberFormat="1" applyFont="1" applyProtection="1"/>
    <xf numFmtId="165" fontId="3" fillId="0" borderId="0" xfId="2" applyFont="1" applyFill="1" applyBorder="1" applyProtection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7" fillId="0" borderId="0" xfId="0" applyFont="1"/>
    <xf numFmtId="10" fontId="3" fillId="0" borderId="0" xfId="3" applyNumberFormat="1" applyFont="1" applyFill="1" applyBorder="1" applyProtection="1"/>
    <xf numFmtId="172" fontId="3" fillId="0" borderId="0" xfId="0" applyNumberFormat="1" applyFont="1"/>
    <xf numFmtId="44" fontId="3" fillId="0" borderId="0" xfId="2" applyNumberFormat="1" applyFont="1" applyFill="1" applyBorder="1" applyProtection="1"/>
    <xf numFmtId="164" fontId="3" fillId="0" borderId="0" xfId="1" applyFont="1" applyProtection="1"/>
    <xf numFmtId="165" fontId="3" fillId="0" borderId="0" xfId="2" applyFont="1" applyFill="1" applyProtection="1"/>
    <xf numFmtId="170" fontId="24" fillId="0" borderId="0" xfId="0" applyNumberFormat="1" applyFont="1" applyProtection="1">
      <protection locked="0"/>
    </xf>
    <xf numFmtId="0" fontId="4" fillId="0" borderId="0" xfId="4" applyFont="1" applyAlignment="1">
      <alignment horizontal="left"/>
    </xf>
    <xf numFmtId="0" fontId="4" fillId="0" borderId="0" xfId="4" applyFont="1" applyAlignment="1">
      <alignment horizontal="center"/>
    </xf>
    <xf numFmtId="0" fontId="2" fillId="0" borderId="0" xfId="4" applyFont="1" applyAlignment="1" applyProtection="1">
      <alignment horizontal="left"/>
      <protection locked="0" hidden="1"/>
    </xf>
    <xf numFmtId="0" fontId="2" fillId="0" borderId="0" xfId="4" applyFont="1" applyAlignment="1" applyProtection="1">
      <alignment horizontal="center"/>
      <protection locked="0" hidden="1"/>
    </xf>
    <xf numFmtId="2" fontId="2" fillId="0" borderId="0" xfId="1" applyNumberFormat="1" applyFont="1" applyAlignment="1" applyProtection="1">
      <alignment horizontal="center"/>
      <protection locked="0" hidden="1"/>
    </xf>
    <xf numFmtId="1" fontId="2" fillId="0" borderId="0" xfId="1" applyNumberFormat="1" applyFont="1" applyAlignment="1" applyProtection="1">
      <alignment horizontal="center"/>
      <protection locked="0" hidden="1"/>
    </xf>
    <xf numFmtId="2" fontId="4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4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" fontId="4" fillId="0" borderId="32" xfId="1" applyNumberFormat="1" applyFont="1" applyBorder="1" applyAlignment="1" applyProtection="1">
      <alignment horizontal="center"/>
      <protection locked="0" hidden="1"/>
    </xf>
    <xf numFmtId="1" fontId="4" fillId="0" borderId="33" xfId="1" applyNumberFormat="1" applyFont="1" applyBorder="1" applyAlignment="1" applyProtection="1">
      <alignment horizontal="center"/>
      <protection locked="0" hidden="1"/>
    </xf>
    <xf numFmtId="1" fontId="4" fillId="0" borderId="34" xfId="1" applyNumberFormat="1" applyFont="1" applyBorder="1" applyAlignment="1" applyProtection="1">
      <alignment horizontal="center"/>
      <protection locked="0" hidden="1"/>
    </xf>
    <xf numFmtId="164" fontId="5" fillId="0" borderId="20" xfId="1" applyFont="1" applyFill="1" applyBorder="1" applyAlignment="1" applyProtection="1">
      <alignment vertical="center"/>
      <protection locked="0" hidden="1"/>
    </xf>
    <xf numFmtId="164" fontId="5" fillId="0" borderId="25" xfId="1" applyFont="1" applyFill="1" applyBorder="1" applyAlignment="1" applyProtection="1">
      <alignment vertical="center"/>
      <protection locked="0" hidden="1"/>
    </xf>
    <xf numFmtId="164" fontId="5" fillId="0" borderId="35" xfId="1" applyFont="1" applyFill="1" applyBorder="1" applyAlignment="1" applyProtection="1">
      <alignment vertical="center"/>
      <protection locked="0" hidden="1"/>
    </xf>
    <xf numFmtId="164" fontId="23" fillId="4" borderId="32" xfId="1" applyFont="1" applyFill="1" applyBorder="1" applyAlignment="1" applyProtection="1">
      <alignment vertical="center"/>
      <protection locked="0" hidden="1"/>
    </xf>
    <xf numFmtId="164" fontId="23" fillId="4" borderId="33" xfId="1" applyFont="1" applyFill="1" applyBorder="1" applyAlignment="1" applyProtection="1">
      <alignment vertical="center"/>
      <protection locked="0" hidden="1"/>
    </xf>
    <xf numFmtId="164" fontId="23" fillId="4" borderId="34" xfId="1" applyFont="1" applyFill="1" applyBorder="1" applyAlignment="1" applyProtection="1">
      <alignment vertical="center"/>
      <protection locked="0" hidden="1"/>
    </xf>
    <xf numFmtId="164" fontId="23" fillId="4" borderId="31" xfId="1" applyFont="1" applyFill="1" applyBorder="1" applyAlignment="1" applyProtection="1">
      <alignment vertical="center"/>
      <protection locked="0" hidden="1"/>
    </xf>
    <xf numFmtId="164" fontId="23" fillId="4" borderId="38" xfId="1" applyFont="1" applyFill="1" applyBorder="1" applyAlignment="1" applyProtection="1">
      <alignment vertical="center"/>
      <protection locked="0" hidden="1"/>
    </xf>
    <xf numFmtId="0" fontId="23" fillId="4" borderId="39" xfId="0" applyFont="1" applyFill="1" applyBorder="1" applyAlignment="1" applyProtection="1">
      <alignment vertical="center"/>
      <protection locked="0" hidden="1"/>
    </xf>
    <xf numFmtId="0" fontId="23" fillId="4" borderId="40" xfId="0" applyFont="1" applyFill="1" applyBorder="1" applyAlignment="1" applyProtection="1">
      <alignment horizontal="center" vertical="center"/>
      <protection locked="0" hidden="1"/>
    </xf>
    <xf numFmtId="0" fontId="4" fillId="0" borderId="32" xfId="4" applyFont="1" applyBorder="1" applyAlignment="1" applyProtection="1">
      <alignment horizontal="left" vertical="center"/>
      <protection locked="0" hidden="1"/>
    </xf>
    <xf numFmtId="0" fontId="4" fillId="0" borderId="33" xfId="4" applyFont="1" applyBorder="1" applyAlignment="1" applyProtection="1">
      <alignment horizontal="left" vertical="center"/>
      <protection locked="0" hidden="1"/>
    </xf>
    <xf numFmtId="0" fontId="4" fillId="0" borderId="33" xfId="4" applyFont="1" applyBorder="1" applyAlignment="1">
      <alignment horizontal="left" vertical="center"/>
    </xf>
    <xf numFmtId="0" fontId="4" fillId="0" borderId="34" xfId="4" applyFont="1" applyBorder="1" applyAlignment="1">
      <alignment horizontal="left" vertical="center"/>
    </xf>
    <xf numFmtId="164" fontId="5" fillId="0" borderId="20" xfId="1" applyFont="1" applyBorder="1" applyAlignment="1" applyProtection="1">
      <alignment vertical="center"/>
      <protection locked="0"/>
    </xf>
    <xf numFmtId="164" fontId="5" fillId="0" borderId="21" xfId="1" applyFont="1" applyBorder="1" applyAlignment="1" applyProtection="1">
      <alignment vertical="center"/>
      <protection locked="0"/>
    </xf>
    <xf numFmtId="164" fontId="5" fillId="0" borderId="25" xfId="1" applyFont="1" applyBorder="1" applyAlignment="1" applyProtection="1">
      <alignment vertical="center"/>
      <protection locked="0"/>
    </xf>
    <xf numFmtId="164" fontId="5" fillId="0" borderId="26" xfId="1" applyFont="1" applyBorder="1" applyAlignment="1" applyProtection="1">
      <alignment vertical="center"/>
      <protection locked="0"/>
    </xf>
    <xf numFmtId="164" fontId="5" fillId="0" borderId="35" xfId="1" applyFont="1" applyBorder="1" applyAlignment="1" applyProtection="1">
      <alignment vertical="center"/>
      <protection locked="0"/>
    </xf>
    <xf numFmtId="164" fontId="5" fillId="0" borderId="36" xfId="1" applyFont="1" applyBorder="1" applyAlignment="1" applyProtection="1">
      <alignment vertical="center"/>
      <protection locked="0"/>
    </xf>
    <xf numFmtId="164" fontId="23" fillId="4" borderId="32" xfId="1" applyFont="1" applyFill="1" applyBorder="1" applyAlignment="1" applyProtection="1">
      <alignment vertical="center"/>
      <protection locked="0"/>
    </xf>
    <xf numFmtId="164" fontId="23" fillId="4" borderId="33" xfId="1" applyFont="1" applyFill="1" applyBorder="1" applyAlignment="1" applyProtection="1">
      <alignment vertical="center"/>
      <protection locked="0"/>
    </xf>
    <xf numFmtId="164" fontId="23" fillId="4" borderId="34" xfId="1" applyFont="1" applyFill="1" applyBorder="1" applyAlignment="1" applyProtection="1">
      <alignment vertical="center"/>
      <protection locked="0"/>
    </xf>
    <xf numFmtId="164" fontId="23" fillId="4" borderId="31" xfId="1" applyFont="1" applyFill="1" applyBorder="1" applyAlignment="1" applyProtection="1">
      <alignment vertical="center"/>
      <protection locked="0"/>
    </xf>
    <xf numFmtId="164" fontId="23" fillId="4" borderId="38" xfId="1" applyFont="1" applyFill="1" applyBorder="1" applyAlignment="1" applyProtection="1">
      <alignment vertical="center"/>
      <protection locked="0"/>
    </xf>
    <xf numFmtId="164" fontId="23" fillId="4" borderId="37" xfId="1" applyFont="1" applyFill="1" applyBorder="1" applyAlignment="1" applyProtection="1">
      <alignment vertical="center"/>
      <protection locked="0"/>
    </xf>
    <xf numFmtId="0" fontId="29" fillId="4" borderId="40" xfId="1" applyNumberFormat="1" applyFont="1" applyFill="1" applyBorder="1" applyAlignment="1" applyProtection="1">
      <alignment horizontal="center"/>
      <protection locked="0"/>
    </xf>
    <xf numFmtId="0" fontId="29" fillId="4" borderId="39" xfId="4" applyFont="1" applyFill="1" applyBorder="1" applyAlignment="1" applyProtection="1">
      <alignment vertical="center"/>
      <protection locked="0"/>
    </xf>
    <xf numFmtId="164" fontId="5" fillId="0" borderId="20" xfId="1" applyFont="1" applyBorder="1" applyAlignment="1" applyProtection="1">
      <alignment vertical="center"/>
      <protection hidden="1"/>
    </xf>
    <xf numFmtId="164" fontId="5" fillId="0" borderId="21" xfId="1" applyFont="1" applyBorder="1" applyAlignment="1" applyProtection="1">
      <alignment vertical="center"/>
      <protection hidden="1"/>
    </xf>
    <xf numFmtId="164" fontId="5" fillId="0" borderId="25" xfId="1" applyFont="1" applyBorder="1" applyAlignment="1" applyProtection="1">
      <alignment vertical="center"/>
      <protection hidden="1"/>
    </xf>
    <xf numFmtId="164" fontId="5" fillId="0" borderId="26" xfId="1" applyFont="1" applyBorder="1" applyAlignment="1" applyProtection="1">
      <alignment vertical="center"/>
      <protection hidden="1"/>
    </xf>
    <xf numFmtId="164" fontId="5" fillId="0" borderId="35" xfId="1" applyFont="1" applyBorder="1" applyAlignment="1" applyProtection="1">
      <alignment vertical="center"/>
      <protection hidden="1"/>
    </xf>
    <xf numFmtId="164" fontId="5" fillId="0" borderId="36" xfId="1" applyFont="1" applyBorder="1" applyAlignment="1" applyProtection="1">
      <alignment vertical="center"/>
      <protection hidden="1"/>
    </xf>
    <xf numFmtId="164" fontId="23" fillId="4" borderId="32" xfId="1" applyFont="1" applyFill="1" applyBorder="1" applyAlignment="1" applyProtection="1">
      <alignment vertical="center"/>
      <protection hidden="1"/>
    </xf>
    <xf numFmtId="164" fontId="23" fillId="4" borderId="33" xfId="1" applyFont="1" applyFill="1" applyBorder="1" applyAlignment="1" applyProtection="1">
      <alignment vertical="center"/>
      <protection hidden="1"/>
    </xf>
    <xf numFmtId="164" fontId="23" fillId="4" borderId="34" xfId="1" applyFont="1" applyFill="1" applyBorder="1" applyAlignment="1" applyProtection="1">
      <alignment vertical="center"/>
      <protection hidden="1"/>
    </xf>
    <xf numFmtId="164" fontId="23" fillId="4" borderId="31" xfId="1" applyFont="1" applyFill="1" applyBorder="1" applyAlignment="1" applyProtection="1">
      <alignment vertical="center"/>
      <protection hidden="1"/>
    </xf>
    <xf numFmtId="164" fontId="23" fillId="4" borderId="38" xfId="1" applyFont="1" applyFill="1" applyBorder="1" applyAlignment="1" applyProtection="1">
      <alignment vertical="center"/>
      <protection hidden="1"/>
    </xf>
    <xf numFmtId="164" fontId="23" fillId="4" borderId="37" xfId="1" applyFont="1" applyFill="1" applyBorder="1" applyAlignment="1" applyProtection="1">
      <alignment vertical="center"/>
      <protection hidden="1"/>
    </xf>
    <xf numFmtId="0" fontId="23" fillId="4" borderId="39" xfId="0" applyFont="1" applyFill="1" applyBorder="1" applyAlignment="1" applyProtection="1">
      <alignment vertical="center"/>
      <protection hidden="1"/>
    </xf>
    <xf numFmtId="0" fontId="23" fillId="4" borderId="40" xfId="0" applyFont="1" applyFill="1" applyBorder="1" applyAlignment="1" applyProtection="1">
      <alignment horizontal="center" vertical="center"/>
      <protection hidden="1"/>
    </xf>
    <xf numFmtId="0" fontId="23" fillId="4" borderId="18" xfId="0" applyFont="1" applyFill="1" applyBorder="1" applyAlignment="1" applyProtection="1">
      <alignment horizontal="center"/>
      <protection hidden="1"/>
    </xf>
    <xf numFmtId="0" fontId="28" fillId="4" borderId="27" xfId="0" applyFont="1" applyFill="1" applyBorder="1" applyAlignment="1" applyProtection="1">
      <alignment horizontal="center"/>
      <protection hidden="1"/>
    </xf>
    <xf numFmtId="0" fontId="28" fillId="4" borderId="22" xfId="0" applyFont="1" applyFill="1" applyBorder="1" applyAlignment="1" applyProtection="1">
      <alignment horizontal="center"/>
      <protection hidden="1"/>
    </xf>
    <xf numFmtId="0" fontId="28" fillId="4" borderId="23" xfId="0" applyFont="1" applyFill="1" applyBorder="1" applyAlignment="1" applyProtection="1">
      <alignment horizontal="center"/>
      <protection hidden="1"/>
    </xf>
    <xf numFmtId="0" fontId="5" fillId="0" borderId="19" xfId="0" applyFont="1" applyBorder="1" applyAlignment="1" applyProtection="1">
      <alignment vertical="center"/>
      <protection hidden="1"/>
    </xf>
    <xf numFmtId="0" fontId="5" fillId="0" borderId="20" xfId="0" applyFont="1" applyBorder="1" applyAlignment="1" applyProtection="1">
      <alignment vertical="center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6" fillId="2" borderId="28" xfId="0" applyFont="1" applyFill="1" applyBorder="1" applyAlignment="1" applyProtection="1">
      <alignment horizontal="center" vertical="center"/>
      <protection hidden="1"/>
    </xf>
    <xf numFmtId="0" fontId="6" fillId="2" borderId="29" xfId="0" applyFont="1" applyFill="1" applyBorder="1" applyAlignment="1" applyProtection="1">
      <alignment horizontal="center" vertical="center"/>
      <protection hidden="1"/>
    </xf>
    <xf numFmtId="0" fontId="6" fillId="2" borderId="30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locked="0"/>
    </xf>
    <xf numFmtId="164" fontId="8" fillId="3" borderId="11" xfId="1" applyFont="1" applyFill="1" applyBorder="1" applyAlignment="1" applyProtection="1">
      <alignment horizontal="center" vertical="center"/>
      <protection hidden="1"/>
    </xf>
    <xf numFmtId="164" fontId="8" fillId="3" borderId="12" xfId="1" applyFont="1" applyFill="1" applyBorder="1" applyAlignment="1" applyProtection="1">
      <alignment horizontal="center" vertical="center"/>
      <protection hidden="1"/>
    </xf>
    <xf numFmtId="164" fontId="8" fillId="3" borderId="13" xfId="1" applyFont="1" applyFill="1" applyBorder="1" applyAlignment="1" applyProtection="1">
      <alignment horizontal="center" vertical="center"/>
      <protection hidden="1"/>
    </xf>
  </cellXfs>
  <cellStyles count="8">
    <cellStyle name="Comma_Uurtarieven 2000 LEVERANCIER" xfId="6" xr:uid="{00000000-0005-0000-0000-000000000000}"/>
    <cellStyle name="Currency_ATIR-Calc-Uurtarief 2001" xfId="7" xr:uid="{00000000-0005-0000-0000-000001000000}"/>
    <cellStyle name="Komma" xfId="1" builtinId="3"/>
    <cellStyle name="Normal_Uurtarieven 2000 LEVERANCIER" xfId="5" xr:uid="{00000000-0005-0000-0000-000003000000}"/>
    <cellStyle name="Procent" xfId="3" builtinId="5"/>
    <cellStyle name="Standaard" xfId="0" builtinId="0"/>
    <cellStyle name="Standaard_Map1" xfId="4" xr:uid="{00000000-0005-0000-0000-000006000000}"/>
    <cellStyle name="Valuta" xfId="2" builtinId="4"/>
  </cellStyles>
  <dxfs count="16">
    <dxf>
      <font>
        <condense val="0"/>
        <extend val="0"/>
        <color indexed="10"/>
      </font>
    </dxf>
    <dxf>
      <fill>
        <patternFill>
          <bgColor indexed="48"/>
        </patternFill>
      </fill>
    </dxf>
    <dxf>
      <font>
        <condense val="0"/>
        <extend val="0"/>
        <color indexed="10"/>
      </font>
    </dxf>
    <dxf>
      <fill>
        <patternFill>
          <bgColor indexed="48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48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48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  <border>
        <vertical/>
        <horizontal/>
      </border>
    </dxf>
    <dxf>
      <font>
        <color theme="0"/>
      </font>
    </dxf>
    <dxf>
      <font>
        <color theme="0"/>
      </font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0080"/>
      <color rgb="FF0000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2" name="Picture 1" descr="Bakkersland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CC"/>
            </a:clrFrom>
            <a:clrTo>
              <a:srgbClr val="FFFFC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666" b="84772"/>
        <a:stretch>
          <a:fillRect/>
        </a:stretch>
      </xdr:blipFill>
      <xdr:spPr bwMode="auto">
        <a:xfrm>
          <a:off x="6600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2" name="Picture 1" descr="Bakkersland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CC"/>
            </a:clrFrom>
            <a:clrTo>
              <a:srgbClr val="FFFFC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666" b="84772"/>
        <a:stretch>
          <a:fillRect/>
        </a:stretch>
      </xdr:blipFill>
      <xdr:spPr bwMode="auto">
        <a:xfrm>
          <a:off x="6600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egevens/Excel/Calc/AZR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mc-sbs1/ts-home$/Voor..van/meten%20glas/meten%20glas/meten%20glas/meten%20glas/meten%20glas/meten%20glas/meten%20glas/meten%20glas/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mc-sbs1/ts-home$/%20ATIR%20Werkdocumenten/%20%20ATIR%20in%20%20behandeling/Tarieven%202004/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0"/>
  <dimension ref="A1:AB73"/>
  <sheetViews>
    <sheetView workbookViewId="0">
      <pane ySplit="2" topLeftCell="A33" activePane="bottomLeft" state="frozen"/>
      <selection pane="bottomLeft" activeCell="L66" sqref="L66"/>
    </sheetView>
  </sheetViews>
  <sheetFormatPr defaultColWidth="9.140625" defaultRowHeight="11.25" x14ac:dyDescent="0.15"/>
  <cols>
    <col min="1" max="1" width="23.42578125" style="48" customWidth="1"/>
    <col min="2" max="2" width="22" style="48" customWidth="1"/>
    <col min="3" max="3" width="17" style="49" customWidth="1"/>
    <col min="4" max="4" width="15.85546875" style="49" customWidth="1"/>
    <col min="5" max="5" width="8.7109375" style="49" customWidth="1"/>
    <col min="6" max="6" width="28.140625" style="49" customWidth="1"/>
    <col min="7" max="7" width="15.28515625" style="49" customWidth="1"/>
    <col min="8" max="8" width="11.85546875" style="50" customWidth="1"/>
    <col min="9" max="9" width="11.85546875" style="51" customWidth="1"/>
    <col min="10" max="17" width="11.85546875" style="39" customWidth="1"/>
    <col min="18" max="26" width="9.140625" style="39" customWidth="1"/>
    <col min="27" max="28" width="9.140625" style="43"/>
    <col min="29" max="16384" width="9.140625" style="39"/>
  </cols>
  <sheetData>
    <row r="1" spans="1:28" x14ac:dyDescent="0.15">
      <c r="A1" s="47" t="s">
        <v>0</v>
      </c>
      <c r="B1" s="47" t="s">
        <v>1</v>
      </c>
      <c r="C1" s="112" t="s">
        <v>2</v>
      </c>
      <c r="D1" s="113" t="s">
        <v>3</v>
      </c>
      <c r="E1" s="113" t="s">
        <v>4</v>
      </c>
      <c r="F1" s="112" t="s">
        <v>5</v>
      </c>
      <c r="G1" s="113" t="s">
        <v>6</v>
      </c>
      <c r="H1" s="114" t="s">
        <v>7</v>
      </c>
      <c r="I1" s="115" t="s">
        <v>8</v>
      </c>
    </row>
    <row r="2" spans="1:28" ht="11.25" customHeight="1" x14ac:dyDescent="0.2">
      <c r="A2" s="110" t="s">
        <v>96</v>
      </c>
      <c r="B2" s="110" t="s">
        <v>97</v>
      </c>
      <c r="C2" s="117" t="s">
        <v>16</v>
      </c>
      <c r="D2" s="117" t="s">
        <v>98</v>
      </c>
      <c r="E2" s="118" t="s">
        <v>99</v>
      </c>
      <c r="F2" s="119" t="s">
        <v>100</v>
      </c>
      <c r="G2" s="117"/>
      <c r="H2" s="120">
        <v>6.3</v>
      </c>
      <c r="I2" s="51">
        <v>26</v>
      </c>
      <c r="AA2" t="s">
        <v>200</v>
      </c>
      <c r="AB2">
        <f t="shared" ref="AB2:AB33" si="0">COUNTIF(AA:AA,AA2)</f>
        <v>1</v>
      </c>
    </row>
    <row r="3" spans="1:28" ht="11.25" customHeight="1" x14ac:dyDescent="0.2">
      <c r="A3" s="110" t="s">
        <v>96</v>
      </c>
      <c r="B3" s="110" t="s">
        <v>97</v>
      </c>
      <c r="C3" s="117" t="s">
        <v>9</v>
      </c>
      <c r="D3" s="117" t="s">
        <v>98</v>
      </c>
      <c r="E3" s="117" t="s">
        <v>101</v>
      </c>
      <c r="F3" s="119" t="s">
        <v>271</v>
      </c>
      <c r="G3" s="117"/>
      <c r="H3" s="121">
        <v>3.5</v>
      </c>
      <c r="I3" s="51">
        <v>26</v>
      </c>
      <c r="AA3" t="s">
        <v>201</v>
      </c>
      <c r="AB3">
        <f t="shared" si="0"/>
        <v>1</v>
      </c>
    </row>
    <row r="4" spans="1:28" ht="11.25" customHeight="1" x14ac:dyDescent="0.2">
      <c r="A4" s="110" t="s">
        <v>96</v>
      </c>
      <c r="B4" s="110" t="s">
        <v>97</v>
      </c>
      <c r="C4" s="117" t="s">
        <v>12</v>
      </c>
      <c r="D4" s="117" t="s">
        <v>98</v>
      </c>
      <c r="E4" s="117" t="s">
        <v>102</v>
      </c>
      <c r="F4" s="117" t="s">
        <v>272</v>
      </c>
      <c r="G4" s="117"/>
      <c r="H4" s="121">
        <v>20.5</v>
      </c>
      <c r="I4" s="51">
        <v>26</v>
      </c>
      <c r="AA4" t="s">
        <v>202</v>
      </c>
      <c r="AB4">
        <f t="shared" si="0"/>
        <v>1</v>
      </c>
    </row>
    <row r="5" spans="1:28" ht="11.25" customHeight="1" x14ac:dyDescent="0.2">
      <c r="A5" s="110" t="s">
        <v>96</v>
      </c>
      <c r="B5" s="110" t="s">
        <v>103</v>
      </c>
      <c r="C5" s="117" t="s">
        <v>16</v>
      </c>
      <c r="D5" s="117" t="s">
        <v>98</v>
      </c>
      <c r="E5" s="117" t="s">
        <v>104</v>
      </c>
      <c r="F5" s="117" t="s">
        <v>100</v>
      </c>
      <c r="G5" s="117"/>
      <c r="H5" s="121">
        <v>15.8</v>
      </c>
      <c r="I5" s="51">
        <v>26</v>
      </c>
      <c r="AA5" t="s">
        <v>203</v>
      </c>
      <c r="AB5">
        <f t="shared" si="0"/>
        <v>1</v>
      </c>
    </row>
    <row r="6" spans="1:28" ht="11.25" customHeight="1" x14ac:dyDescent="0.2">
      <c r="A6" s="110" t="s">
        <v>96</v>
      </c>
      <c r="B6" s="110" t="s">
        <v>103</v>
      </c>
      <c r="C6" s="117" t="s">
        <v>9</v>
      </c>
      <c r="D6" s="117" t="s">
        <v>98</v>
      </c>
      <c r="E6" s="117" t="s">
        <v>105</v>
      </c>
      <c r="F6" s="117" t="s">
        <v>271</v>
      </c>
      <c r="G6" s="117"/>
      <c r="H6" s="121">
        <v>3</v>
      </c>
      <c r="I6" s="51">
        <v>26</v>
      </c>
      <c r="AA6" t="s">
        <v>204</v>
      </c>
      <c r="AB6">
        <f t="shared" si="0"/>
        <v>1</v>
      </c>
    </row>
    <row r="7" spans="1:28" ht="11.25" customHeight="1" x14ac:dyDescent="0.2">
      <c r="A7" s="110" t="s">
        <v>96</v>
      </c>
      <c r="B7" s="110" t="s">
        <v>103</v>
      </c>
      <c r="C7" s="117" t="s">
        <v>12</v>
      </c>
      <c r="D7" s="117" t="s">
        <v>98</v>
      </c>
      <c r="E7" s="117" t="s">
        <v>106</v>
      </c>
      <c r="F7" s="117" t="s">
        <v>272</v>
      </c>
      <c r="G7" s="117"/>
      <c r="H7" s="121">
        <v>29.4</v>
      </c>
      <c r="I7" s="51">
        <v>26</v>
      </c>
      <c r="AA7" t="s">
        <v>205</v>
      </c>
      <c r="AB7">
        <f t="shared" si="0"/>
        <v>1</v>
      </c>
    </row>
    <row r="8" spans="1:28" ht="11.25" customHeight="1" x14ac:dyDescent="0.2">
      <c r="A8" s="110" t="s">
        <v>96</v>
      </c>
      <c r="B8" s="110" t="s">
        <v>103</v>
      </c>
      <c r="C8" s="117" t="s">
        <v>10</v>
      </c>
      <c r="D8" s="117" t="s">
        <v>98</v>
      </c>
      <c r="E8" s="117" t="s">
        <v>107</v>
      </c>
      <c r="F8" s="117" t="s">
        <v>10</v>
      </c>
      <c r="G8" s="117"/>
      <c r="H8" s="121">
        <v>14.1</v>
      </c>
      <c r="I8" s="51">
        <v>26</v>
      </c>
      <c r="AA8" t="s">
        <v>206</v>
      </c>
      <c r="AB8">
        <f t="shared" si="0"/>
        <v>1</v>
      </c>
    </row>
    <row r="9" spans="1:28" ht="11.25" customHeight="1" x14ac:dyDescent="0.2">
      <c r="A9" s="110" t="s">
        <v>96</v>
      </c>
      <c r="B9" s="110" t="s">
        <v>108</v>
      </c>
      <c r="C9" s="117" t="s">
        <v>12</v>
      </c>
      <c r="D9" s="117" t="s">
        <v>98</v>
      </c>
      <c r="E9" s="117" t="s">
        <v>109</v>
      </c>
      <c r="F9" s="117" t="s">
        <v>272</v>
      </c>
      <c r="G9" s="117"/>
      <c r="H9" s="121">
        <v>14.5</v>
      </c>
      <c r="I9" s="51">
        <v>52</v>
      </c>
      <c r="AA9" t="s">
        <v>207</v>
      </c>
      <c r="AB9">
        <f t="shared" si="0"/>
        <v>1</v>
      </c>
    </row>
    <row r="10" spans="1:28" ht="11.25" customHeight="1" x14ac:dyDescent="0.2">
      <c r="A10" s="110" t="s">
        <v>96</v>
      </c>
      <c r="B10" s="110" t="s">
        <v>108</v>
      </c>
      <c r="C10" s="117" t="s">
        <v>9</v>
      </c>
      <c r="D10" s="117" t="s">
        <v>98</v>
      </c>
      <c r="E10" s="117" t="s">
        <v>110</v>
      </c>
      <c r="F10" s="117" t="s">
        <v>111</v>
      </c>
      <c r="G10" s="117"/>
      <c r="H10" s="121">
        <v>4</v>
      </c>
      <c r="I10" s="51">
        <v>52</v>
      </c>
      <c r="AA10" t="s">
        <v>208</v>
      </c>
      <c r="AB10">
        <f t="shared" si="0"/>
        <v>1</v>
      </c>
    </row>
    <row r="11" spans="1:28" ht="11.25" customHeight="1" x14ac:dyDescent="0.2">
      <c r="A11" s="110" t="s">
        <v>96</v>
      </c>
      <c r="B11" s="110" t="s">
        <v>112</v>
      </c>
      <c r="C11" s="117" t="s">
        <v>16</v>
      </c>
      <c r="D11" s="117" t="s">
        <v>98</v>
      </c>
      <c r="E11" s="117" t="s">
        <v>113</v>
      </c>
      <c r="F11" s="117" t="s">
        <v>100</v>
      </c>
      <c r="G11" s="117"/>
      <c r="H11" s="121">
        <v>13.7</v>
      </c>
      <c r="I11" s="51">
        <v>52</v>
      </c>
      <c r="AA11" t="s">
        <v>209</v>
      </c>
      <c r="AB11">
        <f t="shared" si="0"/>
        <v>1</v>
      </c>
    </row>
    <row r="12" spans="1:28" ht="11.25" customHeight="1" x14ac:dyDescent="0.2">
      <c r="A12" s="110" t="s">
        <v>96</v>
      </c>
      <c r="B12" s="110" t="s">
        <v>112</v>
      </c>
      <c r="C12" s="117" t="s">
        <v>9</v>
      </c>
      <c r="D12" s="117" t="s">
        <v>98</v>
      </c>
      <c r="E12" s="117" t="s">
        <v>114</v>
      </c>
      <c r="F12" s="117" t="s">
        <v>115</v>
      </c>
      <c r="G12" s="117"/>
      <c r="H12" s="121">
        <v>3.8</v>
      </c>
      <c r="I12" s="51">
        <v>52</v>
      </c>
      <c r="AA12" t="s">
        <v>210</v>
      </c>
      <c r="AB12">
        <f t="shared" si="0"/>
        <v>1</v>
      </c>
    </row>
    <row r="13" spans="1:28" ht="11.25" customHeight="1" x14ac:dyDescent="0.2">
      <c r="A13" s="110" t="s">
        <v>96</v>
      </c>
      <c r="B13" s="110" t="s">
        <v>112</v>
      </c>
      <c r="C13" s="117" t="s">
        <v>12</v>
      </c>
      <c r="D13" s="117" t="s">
        <v>98</v>
      </c>
      <c r="E13" s="117" t="s">
        <v>116</v>
      </c>
      <c r="F13" s="117" t="s">
        <v>272</v>
      </c>
      <c r="G13" s="117"/>
      <c r="H13" s="121">
        <v>20.3</v>
      </c>
      <c r="I13" s="51">
        <v>52</v>
      </c>
      <c r="AA13" t="s">
        <v>211</v>
      </c>
      <c r="AB13">
        <f t="shared" si="0"/>
        <v>1</v>
      </c>
    </row>
    <row r="14" spans="1:28" ht="11.25" customHeight="1" x14ac:dyDescent="0.2">
      <c r="A14" s="110" t="s">
        <v>96</v>
      </c>
      <c r="B14" s="110" t="s">
        <v>112</v>
      </c>
      <c r="C14" s="117" t="s">
        <v>10</v>
      </c>
      <c r="D14" s="117" t="s">
        <v>98</v>
      </c>
      <c r="E14" s="117" t="s">
        <v>117</v>
      </c>
      <c r="F14" s="117" t="s">
        <v>118</v>
      </c>
      <c r="G14" s="117"/>
      <c r="H14" s="121">
        <v>21.3</v>
      </c>
      <c r="I14" s="51">
        <v>52</v>
      </c>
      <c r="AA14" t="s">
        <v>212</v>
      </c>
      <c r="AB14">
        <f t="shared" si="0"/>
        <v>1</v>
      </c>
    </row>
    <row r="15" spans="1:28" ht="11.25" customHeight="1" x14ac:dyDescent="0.2">
      <c r="A15" s="110" t="s">
        <v>96</v>
      </c>
      <c r="B15" s="110" t="s">
        <v>112</v>
      </c>
      <c r="C15" s="117" t="s">
        <v>12</v>
      </c>
      <c r="D15" s="117" t="s">
        <v>98</v>
      </c>
      <c r="E15" s="117" t="s">
        <v>119</v>
      </c>
      <c r="F15" s="117" t="s">
        <v>120</v>
      </c>
      <c r="G15" s="117"/>
      <c r="H15" s="121">
        <v>14</v>
      </c>
      <c r="I15" s="51">
        <v>52</v>
      </c>
      <c r="AA15" t="s">
        <v>213</v>
      </c>
      <c r="AB15">
        <f t="shared" si="0"/>
        <v>1</v>
      </c>
    </row>
    <row r="16" spans="1:28" ht="11.25" customHeight="1" x14ac:dyDescent="0.2">
      <c r="A16" s="110" t="s">
        <v>96</v>
      </c>
      <c r="B16" s="110" t="s">
        <v>121</v>
      </c>
      <c r="C16" s="117" t="s">
        <v>16</v>
      </c>
      <c r="D16" s="117" t="s">
        <v>98</v>
      </c>
      <c r="E16" s="117" t="s">
        <v>122</v>
      </c>
      <c r="F16" s="117" t="s">
        <v>100</v>
      </c>
      <c r="G16" s="117"/>
      <c r="H16" s="121">
        <v>7.5</v>
      </c>
      <c r="I16" s="51">
        <v>104</v>
      </c>
      <c r="AA16" t="s">
        <v>214</v>
      </c>
      <c r="AB16">
        <f t="shared" si="0"/>
        <v>1</v>
      </c>
    </row>
    <row r="17" spans="1:28" ht="11.25" customHeight="1" x14ac:dyDescent="0.2">
      <c r="A17" s="110" t="s">
        <v>96</v>
      </c>
      <c r="B17" s="110" t="s">
        <v>121</v>
      </c>
      <c r="C17" s="117" t="s">
        <v>16</v>
      </c>
      <c r="D17" s="117" t="s">
        <v>98</v>
      </c>
      <c r="E17" s="117" t="s">
        <v>123</v>
      </c>
      <c r="F17" s="117" t="s">
        <v>124</v>
      </c>
      <c r="G17" s="117"/>
      <c r="H17" s="121">
        <v>4</v>
      </c>
      <c r="I17" s="51">
        <v>104</v>
      </c>
      <c r="AA17" t="s">
        <v>215</v>
      </c>
      <c r="AB17">
        <f t="shared" si="0"/>
        <v>1</v>
      </c>
    </row>
    <row r="18" spans="1:28" ht="11.25" customHeight="1" x14ac:dyDescent="0.2">
      <c r="A18" s="110" t="s">
        <v>96</v>
      </c>
      <c r="B18" s="110" t="s">
        <v>121</v>
      </c>
      <c r="C18" s="117" t="s">
        <v>9</v>
      </c>
      <c r="D18" s="117" t="s">
        <v>98</v>
      </c>
      <c r="E18" s="117" t="s">
        <v>125</v>
      </c>
      <c r="F18" s="117" t="s">
        <v>115</v>
      </c>
      <c r="G18" s="117"/>
      <c r="H18" s="121">
        <v>3</v>
      </c>
      <c r="I18" s="51">
        <v>104</v>
      </c>
      <c r="AA18" t="s">
        <v>216</v>
      </c>
      <c r="AB18">
        <f t="shared" si="0"/>
        <v>1</v>
      </c>
    </row>
    <row r="19" spans="1:28" ht="11.25" customHeight="1" x14ac:dyDescent="0.2">
      <c r="A19" s="110" t="s">
        <v>96</v>
      </c>
      <c r="B19" s="110" t="s">
        <v>121</v>
      </c>
      <c r="C19" s="117" t="s">
        <v>9</v>
      </c>
      <c r="D19" s="117" t="s">
        <v>98</v>
      </c>
      <c r="E19" s="117" t="s">
        <v>126</v>
      </c>
      <c r="F19" s="117" t="s">
        <v>271</v>
      </c>
      <c r="G19" s="117"/>
      <c r="H19" s="121">
        <v>3.8</v>
      </c>
      <c r="I19" s="51">
        <v>104</v>
      </c>
      <c r="AA19" t="s">
        <v>217</v>
      </c>
      <c r="AB19">
        <f t="shared" si="0"/>
        <v>1</v>
      </c>
    </row>
    <row r="20" spans="1:28" ht="12.75" x14ac:dyDescent="0.2">
      <c r="A20" s="110" t="s">
        <v>96</v>
      </c>
      <c r="B20" s="110" t="s">
        <v>121</v>
      </c>
      <c r="C20" s="117" t="s">
        <v>12</v>
      </c>
      <c r="D20" s="117" t="s">
        <v>98</v>
      </c>
      <c r="E20" s="117" t="s">
        <v>127</v>
      </c>
      <c r="F20" s="117" t="s">
        <v>128</v>
      </c>
      <c r="G20" s="117"/>
      <c r="H20" s="121">
        <v>3</v>
      </c>
      <c r="I20" s="51">
        <v>104</v>
      </c>
      <c r="AA20" t="s">
        <v>218</v>
      </c>
      <c r="AB20">
        <f t="shared" si="0"/>
        <v>1</v>
      </c>
    </row>
    <row r="21" spans="1:28" ht="11.25" customHeight="1" x14ac:dyDescent="0.2">
      <c r="A21" s="110" t="s">
        <v>96</v>
      </c>
      <c r="B21" s="110" t="s">
        <v>121</v>
      </c>
      <c r="C21" s="117" t="s">
        <v>12</v>
      </c>
      <c r="D21" s="117" t="s">
        <v>98</v>
      </c>
      <c r="E21" s="117" t="s">
        <v>129</v>
      </c>
      <c r="F21" s="117" t="s">
        <v>272</v>
      </c>
      <c r="G21" s="117"/>
      <c r="H21" s="121">
        <v>17.399999999999999</v>
      </c>
      <c r="I21" s="51">
        <v>104</v>
      </c>
      <c r="AA21" t="s">
        <v>219</v>
      </c>
      <c r="AB21">
        <f t="shared" si="0"/>
        <v>1</v>
      </c>
    </row>
    <row r="22" spans="1:28" ht="12.75" x14ac:dyDescent="0.2">
      <c r="A22" s="110" t="s">
        <v>96</v>
      </c>
      <c r="B22" s="110" t="s">
        <v>121</v>
      </c>
      <c r="C22" s="117" t="s">
        <v>10</v>
      </c>
      <c r="D22" s="117" t="s">
        <v>98</v>
      </c>
      <c r="E22" s="117" t="s">
        <v>130</v>
      </c>
      <c r="F22" s="117" t="s">
        <v>10</v>
      </c>
      <c r="G22" s="117"/>
      <c r="H22" s="121">
        <v>26.5</v>
      </c>
      <c r="I22" s="51">
        <v>104</v>
      </c>
      <c r="AA22" t="s">
        <v>220</v>
      </c>
      <c r="AB22">
        <f t="shared" si="0"/>
        <v>1</v>
      </c>
    </row>
    <row r="23" spans="1:28" ht="12.75" x14ac:dyDescent="0.2">
      <c r="A23" s="110" t="s">
        <v>96</v>
      </c>
      <c r="B23" s="110" t="s">
        <v>121</v>
      </c>
      <c r="C23" s="117" t="s">
        <v>10</v>
      </c>
      <c r="D23" s="117" t="s">
        <v>98</v>
      </c>
      <c r="E23" s="117" t="s">
        <v>131</v>
      </c>
      <c r="F23" s="117" t="s">
        <v>10</v>
      </c>
      <c r="G23" s="117"/>
      <c r="H23" s="121">
        <v>16</v>
      </c>
      <c r="I23" s="51">
        <v>104</v>
      </c>
      <c r="AA23" t="s">
        <v>221</v>
      </c>
      <c r="AB23">
        <f t="shared" si="0"/>
        <v>1</v>
      </c>
    </row>
    <row r="24" spans="1:28" ht="12.75" x14ac:dyDescent="0.2">
      <c r="A24" s="110" t="s">
        <v>96</v>
      </c>
      <c r="B24" s="110" t="s">
        <v>132</v>
      </c>
      <c r="C24" s="117" t="s">
        <v>16</v>
      </c>
      <c r="D24" s="117" t="s">
        <v>98</v>
      </c>
      <c r="E24" s="117" t="s">
        <v>133</v>
      </c>
      <c r="F24" s="117" t="s">
        <v>100</v>
      </c>
      <c r="G24" s="117"/>
      <c r="H24" s="121">
        <v>5.5</v>
      </c>
      <c r="I24" s="51">
        <v>52</v>
      </c>
      <c r="AA24" t="s">
        <v>222</v>
      </c>
      <c r="AB24">
        <f t="shared" si="0"/>
        <v>1</v>
      </c>
    </row>
    <row r="25" spans="1:28" ht="12.75" x14ac:dyDescent="0.2">
      <c r="A25" s="110" t="s">
        <v>96</v>
      </c>
      <c r="B25" s="110" t="s">
        <v>132</v>
      </c>
      <c r="C25" s="117" t="s">
        <v>9</v>
      </c>
      <c r="D25" s="117" t="s">
        <v>98</v>
      </c>
      <c r="E25" s="111" t="s">
        <v>134</v>
      </c>
      <c r="F25" s="117" t="s">
        <v>115</v>
      </c>
      <c r="G25" s="111"/>
      <c r="H25" s="116">
        <v>1.9</v>
      </c>
      <c r="I25" s="51">
        <v>52</v>
      </c>
      <c r="AA25" t="s">
        <v>223</v>
      </c>
      <c r="AB25">
        <f t="shared" si="0"/>
        <v>1</v>
      </c>
    </row>
    <row r="26" spans="1:28" ht="12.75" x14ac:dyDescent="0.2">
      <c r="A26" s="110" t="s">
        <v>96</v>
      </c>
      <c r="B26" s="110" t="s">
        <v>132</v>
      </c>
      <c r="C26" s="117" t="s">
        <v>12</v>
      </c>
      <c r="D26" s="117" t="s">
        <v>98</v>
      </c>
      <c r="E26" s="111" t="s">
        <v>135</v>
      </c>
      <c r="F26" s="117" t="s">
        <v>272</v>
      </c>
      <c r="G26" s="111"/>
      <c r="H26" s="116">
        <v>33.9</v>
      </c>
      <c r="I26" s="51">
        <v>52</v>
      </c>
      <c r="AA26" t="s">
        <v>224</v>
      </c>
      <c r="AB26">
        <f t="shared" si="0"/>
        <v>1</v>
      </c>
    </row>
    <row r="27" spans="1:28" ht="12.75" x14ac:dyDescent="0.2">
      <c r="A27" s="110" t="s">
        <v>96</v>
      </c>
      <c r="B27" s="110" t="s">
        <v>132</v>
      </c>
      <c r="C27" s="117" t="s">
        <v>10</v>
      </c>
      <c r="D27" s="117" t="s">
        <v>98</v>
      </c>
      <c r="E27" s="111" t="s">
        <v>136</v>
      </c>
      <c r="F27" s="117" t="s">
        <v>10</v>
      </c>
      <c r="G27" s="111"/>
      <c r="H27" s="116">
        <v>12.1</v>
      </c>
      <c r="I27" s="51">
        <v>52</v>
      </c>
      <c r="AA27" t="s">
        <v>225</v>
      </c>
      <c r="AB27">
        <f t="shared" si="0"/>
        <v>1</v>
      </c>
    </row>
    <row r="28" spans="1:28" ht="12.75" x14ac:dyDescent="0.2">
      <c r="A28" s="110" t="s">
        <v>96</v>
      </c>
      <c r="B28" s="110" t="s">
        <v>137</v>
      </c>
      <c r="C28" s="117" t="s">
        <v>9</v>
      </c>
      <c r="D28" s="117" t="s">
        <v>98</v>
      </c>
      <c r="E28" s="117" t="s">
        <v>138</v>
      </c>
      <c r="F28" s="117" t="s">
        <v>115</v>
      </c>
      <c r="G28" s="117"/>
      <c r="H28" s="120">
        <v>1.7</v>
      </c>
      <c r="I28" s="51">
        <v>26</v>
      </c>
      <c r="AA28" t="s">
        <v>226</v>
      </c>
      <c r="AB28">
        <f t="shared" si="0"/>
        <v>1</v>
      </c>
    </row>
    <row r="29" spans="1:28" ht="12.75" x14ac:dyDescent="0.2">
      <c r="A29" s="110" t="s">
        <v>96</v>
      </c>
      <c r="B29" s="110" t="s">
        <v>137</v>
      </c>
      <c r="C29" s="117" t="s">
        <v>16</v>
      </c>
      <c r="D29" s="117" t="s">
        <v>98</v>
      </c>
      <c r="E29" s="117" t="s">
        <v>139</v>
      </c>
      <c r="F29" s="117" t="s">
        <v>100</v>
      </c>
      <c r="G29" s="117"/>
      <c r="H29" s="120">
        <v>7.2</v>
      </c>
      <c r="I29" s="51">
        <v>26</v>
      </c>
      <c r="AA29" t="s">
        <v>227</v>
      </c>
      <c r="AB29">
        <f t="shared" si="0"/>
        <v>1</v>
      </c>
    </row>
    <row r="30" spans="1:28" ht="12.75" x14ac:dyDescent="0.2">
      <c r="A30" s="110" t="s">
        <v>96</v>
      </c>
      <c r="B30" s="110" t="s">
        <v>137</v>
      </c>
      <c r="C30" s="117" t="s">
        <v>12</v>
      </c>
      <c r="D30" s="117" t="s">
        <v>98</v>
      </c>
      <c r="E30" s="117" t="s">
        <v>140</v>
      </c>
      <c r="F30" s="117" t="s">
        <v>272</v>
      </c>
      <c r="G30" s="117"/>
      <c r="H30" s="120">
        <v>21</v>
      </c>
      <c r="I30" s="51">
        <v>26</v>
      </c>
      <c r="AA30" t="s">
        <v>228</v>
      </c>
      <c r="AB30">
        <f t="shared" si="0"/>
        <v>1</v>
      </c>
    </row>
    <row r="31" spans="1:28" ht="12.75" x14ac:dyDescent="0.2">
      <c r="A31" s="110" t="s">
        <v>96</v>
      </c>
      <c r="B31" s="110" t="s">
        <v>141</v>
      </c>
      <c r="C31" s="117" t="s">
        <v>16</v>
      </c>
      <c r="D31" s="117" t="s">
        <v>98</v>
      </c>
      <c r="E31" s="117" t="s">
        <v>142</v>
      </c>
      <c r="F31" s="117" t="s">
        <v>100</v>
      </c>
      <c r="G31" s="117"/>
      <c r="H31" s="120">
        <v>7.2</v>
      </c>
      <c r="I31" s="51">
        <v>52</v>
      </c>
      <c r="AA31" t="s">
        <v>229</v>
      </c>
      <c r="AB31">
        <f t="shared" si="0"/>
        <v>1</v>
      </c>
    </row>
    <row r="32" spans="1:28" ht="12.75" x14ac:dyDescent="0.2">
      <c r="A32" s="110" t="s">
        <v>96</v>
      </c>
      <c r="B32" s="110" t="s">
        <v>141</v>
      </c>
      <c r="C32" s="117" t="s">
        <v>9</v>
      </c>
      <c r="D32" s="117" t="s">
        <v>98</v>
      </c>
      <c r="E32" s="117" t="s">
        <v>143</v>
      </c>
      <c r="F32" s="117" t="s">
        <v>115</v>
      </c>
      <c r="G32" s="117"/>
      <c r="H32" s="120">
        <v>2.1</v>
      </c>
      <c r="I32" s="51">
        <v>52</v>
      </c>
      <c r="AA32" t="s">
        <v>230</v>
      </c>
      <c r="AB32">
        <f t="shared" si="0"/>
        <v>1</v>
      </c>
    </row>
    <row r="33" spans="1:28" ht="12.75" x14ac:dyDescent="0.2">
      <c r="A33" s="110" t="s">
        <v>96</v>
      </c>
      <c r="B33" s="110" t="s">
        <v>141</v>
      </c>
      <c r="C33" s="117" t="s">
        <v>12</v>
      </c>
      <c r="D33" s="117" t="s">
        <v>98</v>
      </c>
      <c r="E33" s="117" t="s">
        <v>144</v>
      </c>
      <c r="F33" s="117" t="s">
        <v>145</v>
      </c>
      <c r="G33" s="117"/>
      <c r="H33" s="120">
        <v>27.7</v>
      </c>
      <c r="I33" s="51">
        <v>52</v>
      </c>
      <c r="AA33" t="s">
        <v>231</v>
      </c>
      <c r="AB33">
        <f t="shared" si="0"/>
        <v>1</v>
      </c>
    </row>
    <row r="34" spans="1:28" ht="12.75" x14ac:dyDescent="0.2">
      <c r="A34" s="110" t="s">
        <v>96</v>
      </c>
      <c r="B34" s="110" t="s">
        <v>146</v>
      </c>
      <c r="C34" s="117" t="s">
        <v>9</v>
      </c>
      <c r="D34" s="117" t="s">
        <v>98</v>
      </c>
      <c r="E34" s="117" t="s">
        <v>147</v>
      </c>
      <c r="F34" s="117" t="s">
        <v>115</v>
      </c>
      <c r="G34" s="117"/>
      <c r="H34" s="120">
        <v>2.6</v>
      </c>
      <c r="I34" s="51">
        <v>52</v>
      </c>
      <c r="AA34" t="s">
        <v>232</v>
      </c>
      <c r="AB34">
        <f t="shared" ref="AB34:AB65" si="1">COUNTIF(AA:AA,AA34)</f>
        <v>1</v>
      </c>
    </row>
    <row r="35" spans="1:28" ht="12.75" x14ac:dyDescent="0.2">
      <c r="A35" s="110" t="s">
        <v>96</v>
      </c>
      <c r="B35" s="110" t="s">
        <v>146</v>
      </c>
      <c r="C35" s="117" t="s">
        <v>12</v>
      </c>
      <c r="D35" s="117" t="s">
        <v>98</v>
      </c>
      <c r="E35" s="117" t="s">
        <v>148</v>
      </c>
      <c r="F35" s="117" t="s">
        <v>272</v>
      </c>
      <c r="G35" s="117"/>
      <c r="H35" s="120">
        <v>24.6</v>
      </c>
      <c r="I35" s="51">
        <v>52</v>
      </c>
      <c r="AA35" t="s">
        <v>233</v>
      </c>
      <c r="AB35">
        <f t="shared" si="1"/>
        <v>1</v>
      </c>
    </row>
    <row r="36" spans="1:28" ht="12.75" x14ac:dyDescent="0.2">
      <c r="A36" s="110" t="s">
        <v>96</v>
      </c>
      <c r="B36" s="110" t="s">
        <v>146</v>
      </c>
      <c r="C36" s="117" t="s">
        <v>10</v>
      </c>
      <c r="D36" s="117" t="s">
        <v>98</v>
      </c>
      <c r="E36" s="117" t="s">
        <v>149</v>
      </c>
      <c r="F36" s="117" t="s">
        <v>10</v>
      </c>
      <c r="G36" s="117"/>
      <c r="H36" s="120">
        <v>18.899999999999999</v>
      </c>
      <c r="I36" s="51">
        <v>52</v>
      </c>
      <c r="AA36" t="s">
        <v>234</v>
      </c>
      <c r="AB36">
        <f t="shared" si="1"/>
        <v>1</v>
      </c>
    </row>
    <row r="37" spans="1:28" ht="12.75" x14ac:dyDescent="0.2">
      <c r="A37" s="110" t="s">
        <v>96</v>
      </c>
      <c r="B37" s="110" t="s">
        <v>150</v>
      </c>
      <c r="C37" s="117" t="s">
        <v>9</v>
      </c>
      <c r="D37" s="117" t="s">
        <v>98</v>
      </c>
      <c r="E37" s="117" t="s">
        <v>151</v>
      </c>
      <c r="F37" s="117" t="s">
        <v>115</v>
      </c>
      <c r="G37" s="117"/>
      <c r="H37" s="120">
        <v>1.9</v>
      </c>
      <c r="I37" s="51">
        <v>26</v>
      </c>
      <c r="AA37" t="s">
        <v>235</v>
      </c>
      <c r="AB37">
        <f t="shared" si="1"/>
        <v>1</v>
      </c>
    </row>
    <row r="38" spans="1:28" ht="12.75" x14ac:dyDescent="0.2">
      <c r="A38" s="110" t="s">
        <v>96</v>
      </c>
      <c r="B38" s="110" t="s">
        <v>150</v>
      </c>
      <c r="C38" s="117" t="s">
        <v>16</v>
      </c>
      <c r="D38" s="117" t="s">
        <v>98</v>
      </c>
      <c r="E38" s="117" t="s">
        <v>152</v>
      </c>
      <c r="F38" s="117" t="s">
        <v>100</v>
      </c>
      <c r="G38" s="117"/>
      <c r="H38" s="120">
        <v>4.3</v>
      </c>
      <c r="I38" s="51">
        <v>26</v>
      </c>
      <c r="AA38" t="s">
        <v>236</v>
      </c>
      <c r="AB38">
        <f t="shared" si="1"/>
        <v>1</v>
      </c>
    </row>
    <row r="39" spans="1:28" ht="12.75" x14ac:dyDescent="0.2">
      <c r="A39" s="110" t="s">
        <v>96</v>
      </c>
      <c r="B39" s="110" t="s">
        <v>150</v>
      </c>
      <c r="C39" s="117" t="s">
        <v>12</v>
      </c>
      <c r="D39" s="117" t="s">
        <v>98</v>
      </c>
      <c r="E39" s="117" t="s">
        <v>153</v>
      </c>
      <c r="F39" s="117" t="s">
        <v>272</v>
      </c>
      <c r="G39" s="117"/>
      <c r="H39" s="120">
        <v>12.4</v>
      </c>
      <c r="I39" s="51">
        <v>26</v>
      </c>
      <c r="AA39" t="s">
        <v>237</v>
      </c>
      <c r="AB39">
        <f t="shared" si="1"/>
        <v>1</v>
      </c>
    </row>
    <row r="40" spans="1:28" ht="12.75" x14ac:dyDescent="0.2">
      <c r="A40" s="110" t="s">
        <v>96</v>
      </c>
      <c r="B40" s="110" t="s">
        <v>154</v>
      </c>
      <c r="C40" s="117" t="s">
        <v>16</v>
      </c>
      <c r="D40" s="117" t="s">
        <v>98</v>
      </c>
      <c r="E40" s="117" t="s">
        <v>155</v>
      </c>
      <c r="F40" s="117" t="s">
        <v>156</v>
      </c>
      <c r="G40" s="117"/>
      <c r="H40" s="120">
        <v>8.8000000000000007</v>
      </c>
      <c r="I40" s="51">
        <v>104</v>
      </c>
      <c r="AA40" t="s">
        <v>238</v>
      </c>
      <c r="AB40">
        <f t="shared" si="1"/>
        <v>1</v>
      </c>
    </row>
    <row r="41" spans="1:28" ht="12.75" x14ac:dyDescent="0.2">
      <c r="A41" s="110" t="s">
        <v>96</v>
      </c>
      <c r="B41" s="110" t="s">
        <v>154</v>
      </c>
      <c r="C41" s="117" t="s">
        <v>16</v>
      </c>
      <c r="D41" s="117" t="s">
        <v>98</v>
      </c>
      <c r="E41" s="117" t="s">
        <v>157</v>
      </c>
      <c r="F41" s="117" t="s">
        <v>100</v>
      </c>
      <c r="G41" s="117"/>
      <c r="H41" s="120">
        <v>30</v>
      </c>
      <c r="I41" s="51">
        <v>104</v>
      </c>
      <c r="AA41" t="s">
        <v>239</v>
      </c>
      <c r="AB41">
        <f t="shared" si="1"/>
        <v>1</v>
      </c>
    </row>
    <row r="42" spans="1:28" ht="12.75" x14ac:dyDescent="0.2">
      <c r="A42" s="110" t="s">
        <v>96</v>
      </c>
      <c r="B42" s="110" t="s">
        <v>154</v>
      </c>
      <c r="C42" s="117" t="s">
        <v>9</v>
      </c>
      <c r="D42" s="117" t="s">
        <v>98</v>
      </c>
      <c r="E42" s="117" t="s">
        <v>158</v>
      </c>
      <c r="F42" s="117" t="s">
        <v>273</v>
      </c>
      <c r="G42" s="117"/>
      <c r="H42" s="120">
        <v>17.5</v>
      </c>
      <c r="I42" s="51">
        <v>104</v>
      </c>
      <c r="AA42" t="s">
        <v>240</v>
      </c>
      <c r="AB42">
        <f t="shared" si="1"/>
        <v>1</v>
      </c>
    </row>
    <row r="43" spans="1:28" ht="12.75" x14ac:dyDescent="0.2">
      <c r="A43" s="110" t="s">
        <v>96</v>
      </c>
      <c r="B43" s="110" t="s">
        <v>154</v>
      </c>
      <c r="C43" s="117" t="s">
        <v>9</v>
      </c>
      <c r="D43" s="117" t="s">
        <v>98</v>
      </c>
      <c r="E43" s="117" t="s">
        <v>159</v>
      </c>
      <c r="F43" s="117" t="s">
        <v>160</v>
      </c>
      <c r="G43" s="117"/>
      <c r="H43" s="120">
        <v>2</v>
      </c>
      <c r="I43" s="51">
        <v>104</v>
      </c>
      <c r="AA43" t="s">
        <v>241</v>
      </c>
      <c r="AB43">
        <f t="shared" si="1"/>
        <v>1</v>
      </c>
    </row>
    <row r="44" spans="1:28" ht="12.75" x14ac:dyDescent="0.2">
      <c r="A44" s="110" t="s">
        <v>96</v>
      </c>
      <c r="B44" s="110" t="s">
        <v>154</v>
      </c>
      <c r="C44" s="117" t="s">
        <v>10</v>
      </c>
      <c r="D44" s="117" t="s">
        <v>98</v>
      </c>
      <c r="E44" s="117" t="s">
        <v>161</v>
      </c>
      <c r="F44" s="117" t="s">
        <v>10</v>
      </c>
      <c r="G44" s="117"/>
      <c r="H44" s="120">
        <v>18.8</v>
      </c>
      <c r="I44" s="51">
        <v>104</v>
      </c>
      <c r="AA44" t="s">
        <v>242</v>
      </c>
      <c r="AB44">
        <f t="shared" si="1"/>
        <v>1</v>
      </c>
    </row>
    <row r="45" spans="1:28" ht="12.75" x14ac:dyDescent="0.2">
      <c r="A45" s="110" t="s">
        <v>96</v>
      </c>
      <c r="B45" s="110" t="s">
        <v>154</v>
      </c>
      <c r="C45" s="117" t="s">
        <v>10</v>
      </c>
      <c r="D45" s="117" t="s">
        <v>98</v>
      </c>
      <c r="E45" s="117" t="s">
        <v>162</v>
      </c>
      <c r="F45" s="117" t="s">
        <v>10</v>
      </c>
      <c r="G45" s="117"/>
      <c r="H45" s="120">
        <v>30.8</v>
      </c>
      <c r="I45" s="51">
        <v>104</v>
      </c>
      <c r="AA45" t="s">
        <v>243</v>
      </c>
      <c r="AB45">
        <f t="shared" si="1"/>
        <v>1</v>
      </c>
    </row>
    <row r="46" spans="1:28" ht="12.75" x14ac:dyDescent="0.2">
      <c r="A46" s="110" t="s">
        <v>96</v>
      </c>
      <c r="B46" s="110" t="s">
        <v>154</v>
      </c>
      <c r="C46" s="117" t="s">
        <v>12</v>
      </c>
      <c r="D46" s="117" t="s">
        <v>98</v>
      </c>
      <c r="E46" s="117" t="s">
        <v>163</v>
      </c>
      <c r="F46" s="117" t="s">
        <v>272</v>
      </c>
      <c r="G46" s="117"/>
      <c r="H46" s="120">
        <v>30.5</v>
      </c>
      <c r="I46" s="51">
        <v>104</v>
      </c>
      <c r="AA46" t="s">
        <v>244</v>
      </c>
      <c r="AB46">
        <f t="shared" si="1"/>
        <v>1</v>
      </c>
    </row>
    <row r="47" spans="1:28" ht="12.75" x14ac:dyDescent="0.2">
      <c r="A47" s="110" t="s">
        <v>96</v>
      </c>
      <c r="B47" s="110" t="s">
        <v>154</v>
      </c>
      <c r="C47" s="117" t="s">
        <v>14</v>
      </c>
      <c r="D47" s="117" t="s">
        <v>98</v>
      </c>
      <c r="E47" s="117" t="s">
        <v>164</v>
      </c>
      <c r="F47" s="117" t="s">
        <v>165</v>
      </c>
      <c r="G47" s="117"/>
      <c r="H47" s="120">
        <v>34.5</v>
      </c>
      <c r="I47" s="51">
        <v>104</v>
      </c>
      <c r="AA47" t="s">
        <v>245</v>
      </c>
      <c r="AB47">
        <f t="shared" si="1"/>
        <v>1</v>
      </c>
    </row>
    <row r="48" spans="1:28" ht="12.75" x14ac:dyDescent="0.2">
      <c r="A48" s="110" t="s">
        <v>96</v>
      </c>
      <c r="B48" s="110" t="s">
        <v>154</v>
      </c>
      <c r="C48" s="117" t="s">
        <v>10</v>
      </c>
      <c r="D48" s="117" t="s">
        <v>98</v>
      </c>
      <c r="E48" s="117" t="s">
        <v>166</v>
      </c>
      <c r="F48" s="117" t="s">
        <v>10</v>
      </c>
      <c r="G48" s="117"/>
      <c r="H48" s="120">
        <v>44.3</v>
      </c>
      <c r="I48" s="51">
        <v>104</v>
      </c>
      <c r="AA48" t="s">
        <v>246</v>
      </c>
      <c r="AB48">
        <f t="shared" si="1"/>
        <v>1</v>
      </c>
    </row>
    <row r="49" spans="1:28" ht="12.75" x14ac:dyDescent="0.2">
      <c r="A49" s="110" t="s">
        <v>96</v>
      </c>
      <c r="B49" s="110" t="s">
        <v>167</v>
      </c>
      <c r="C49" s="117" t="s">
        <v>16</v>
      </c>
      <c r="D49" s="117" t="s">
        <v>98</v>
      </c>
      <c r="E49" s="117" t="s">
        <v>168</v>
      </c>
      <c r="F49" s="117" t="s">
        <v>100</v>
      </c>
      <c r="G49" s="117"/>
      <c r="H49" s="120">
        <v>14</v>
      </c>
      <c r="I49" s="51">
        <v>52</v>
      </c>
      <c r="AA49" t="s">
        <v>247</v>
      </c>
      <c r="AB49">
        <f t="shared" si="1"/>
        <v>1</v>
      </c>
    </row>
    <row r="50" spans="1:28" ht="12.75" x14ac:dyDescent="0.2">
      <c r="A50" s="110" t="s">
        <v>96</v>
      </c>
      <c r="B50" s="110" t="s">
        <v>167</v>
      </c>
      <c r="C50" s="117" t="s">
        <v>9</v>
      </c>
      <c r="D50" s="117" t="s">
        <v>98</v>
      </c>
      <c r="E50" s="117" t="s">
        <v>169</v>
      </c>
      <c r="F50" s="117" t="s">
        <v>115</v>
      </c>
      <c r="G50" s="117"/>
      <c r="H50" s="120">
        <v>2.1</v>
      </c>
      <c r="I50" s="51">
        <v>52</v>
      </c>
      <c r="AA50" t="s">
        <v>248</v>
      </c>
      <c r="AB50">
        <f t="shared" si="1"/>
        <v>1</v>
      </c>
    </row>
    <row r="51" spans="1:28" ht="12.75" x14ac:dyDescent="0.2">
      <c r="A51" s="110" t="s">
        <v>96</v>
      </c>
      <c r="B51" s="110" t="s">
        <v>167</v>
      </c>
      <c r="C51" s="117" t="s">
        <v>9</v>
      </c>
      <c r="D51" s="117" t="s">
        <v>98</v>
      </c>
      <c r="E51" s="117" t="s">
        <v>170</v>
      </c>
      <c r="F51" s="117" t="s">
        <v>171</v>
      </c>
      <c r="G51" s="117"/>
      <c r="H51" s="120">
        <v>2.1</v>
      </c>
      <c r="I51" s="51">
        <v>52</v>
      </c>
      <c r="AA51" t="s">
        <v>249</v>
      </c>
      <c r="AB51">
        <f t="shared" si="1"/>
        <v>1</v>
      </c>
    </row>
    <row r="52" spans="1:28" ht="12.75" x14ac:dyDescent="0.2">
      <c r="A52" s="110" t="s">
        <v>96</v>
      </c>
      <c r="B52" s="110" t="s">
        <v>167</v>
      </c>
      <c r="C52" s="117" t="s">
        <v>12</v>
      </c>
      <c r="D52" s="117" t="s">
        <v>98</v>
      </c>
      <c r="E52" s="117" t="s">
        <v>172</v>
      </c>
      <c r="F52" s="117" t="s">
        <v>272</v>
      </c>
      <c r="G52" s="117"/>
      <c r="H52" s="120">
        <v>33.799999999999997</v>
      </c>
      <c r="I52" s="51">
        <v>52</v>
      </c>
      <c r="AA52" t="s">
        <v>250</v>
      </c>
      <c r="AB52">
        <f t="shared" si="1"/>
        <v>1</v>
      </c>
    </row>
    <row r="53" spans="1:28" ht="12.75" x14ac:dyDescent="0.2">
      <c r="A53" s="110" t="s">
        <v>96</v>
      </c>
      <c r="B53" s="110" t="s">
        <v>167</v>
      </c>
      <c r="C53" s="117" t="s">
        <v>10</v>
      </c>
      <c r="D53" s="117" t="s">
        <v>98</v>
      </c>
      <c r="E53" s="117" t="s">
        <v>173</v>
      </c>
      <c r="F53" s="117" t="s">
        <v>10</v>
      </c>
      <c r="G53" s="117"/>
      <c r="H53" s="120">
        <v>33.799999999999997</v>
      </c>
      <c r="I53" s="51">
        <v>52</v>
      </c>
      <c r="AA53" t="s">
        <v>251</v>
      </c>
      <c r="AB53">
        <f t="shared" si="1"/>
        <v>1</v>
      </c>
    </row>
    <row r="54" spans="1:28" ht="12.75" x14ac:dyDescent="0.2">
      <c r="A54" s="110" t="s">
        <v>96</v>
      </c>
      <c r="B54" s="110" t="s">
        <v>174</v>
      </c>
      <c r="C54" s="117" t="s">
        <v>9</v>
      </c>
      <c r="D54" s="117" t="s">
        <v>98</v>
      </c>
      <c r="E54" s="117" t="s">
        <v>175</v>
      </c>
      <c r="F54" s="117" t="s">
        <v>115</v>
      </c>
      <c r="G54" s="117"/>
      <c r="H54" s="120">
        <v>5.2</v>
      </c>
      <c r="I54" s="51">
        <v>26</v>
      </c>
      <c r="AA54" t="s">
        <v>252</v>
      </c>
      <c r="AB54">
        <f t="shared" si="1"/>
        <v>1</v>
      </c>
    </row>
    <row r="55" spans="1:28" ht="12.75" x14ac:dyDescent="0.2">
      <c r="A55" s="110" t="s">
        <v>96</v>
      </c>
      <c r="B55" s="110" t="s">
        <v>174</v>
      </c>
      <c r="C55" s="117" t="s">
        <v>16</v>
      </c>
      <c r="D55" s="117" t="s">
        <v>98</v>
      </c>
      <c r="E55" s="117" t="s">
        <v>176</v>
      </c>
      <c r="F55" s="117" t="s">
        <v>100</v>
      </c>
      <c r="G55" s="117"/>
      <c r="H55" s="120">
        <v>6</v>
      </c>
      <c r="I55" s="51">
        <v>26</v>
      </c>
      <c r="AA55" t="s">
        <v>253</v>
      </c>
      <c r="AB55">
        <f t="shared" si="1"/>
        <v>1</v>
      </c>
    </row>
    <row r="56" spans="1:28" ht="12.75" x14ac:dyDescent="0.2">
      <c r="A56" s="110" t="s">
        <v>96</v>
      </c>
      <c r="B56" s="110" t="s">
        <v>174</v>
      </c>
      <c r="C56" s="117" t="s">
        <v>12</v>
      </c>
      <c r="D56" s="117" t="s">
        <v>98</v>
      </c>
      <c r="E56" s="117" t="s">
        <v>177</v>
      </c>
      <c r="F56" s="117" t="s">
        <v>272</v>
      </c>
      <c r="G56" s="117"/>
      <c r="H56" s="120">
        <v>20</v>
      </c>
      <c r="I56" s="51">
        <v>26</v>
      </c>
      <c r="AA56" t="s">
        <v>254</v>
      </c>
      <c r="AB56">
        <f t="shared" si="1"/>
        <v>1</v>
      </c>
    </row>
    <row r="57" spans="1:28" ht="12.75" x14ac:dyDescent="0.2">
      <c r="A57" s="110" t="s">
        <v>96</v>
      </c>
      <c r="B57" s="110" t="s">
        <v>178</v>
      </c>
      <c r="C57" s="117" t="s">
        <v>16</v>
      </c>
      <c r="D57" s="117" t="s">
        <v>98</v>
      </c>
      <c r="E57" s="117" t="s">
        <v>179</v>
      </c>
      <c r="F57" s="117" t="s">
        <v>274</v>
      </c>
      <c r="G57" s="117"/>
      <c r="H57" s="120">
        <v>4.2</v>
      </c>
      <c r="I57" s="51">
        <v>26</v>
      </c>
      <c r="AA57" t="s">
        <v>255</v>
      </c>
      <c r="AB57">
        <f t="shared" si="1"/>
        <v>1</v>
      </c>
    </row>
    <row r="58" spans="1:28" ht="12.75" x14ac:dyDescent="0.2">
      <c r="A58" s="48" t="s">
        <v>96</v>
      </c>
      <c r="B58" s="48" t="s">
        <v>178</v>
      </c>
      <c r="C58" s="49" t="s">
        <v>9</v>
      </c>
      <c r="D58" s="49" t="s">
        <v>98</v>
      </c>
      <c r="E58" s="49" t="s">
        <v>180</v>
      </c>
      <c r="F58" s="117" t="s">
        <v>115</v>
      </c>
      <c r="H58" s="50">
        <v>1.3</v>
      </c>
      <c r="I58" s="51">
        <v>26</v>
      </c>
      <c r="AA58" s="103" t="s">
        <v>256</v>
      </c>
      <c r="AB58" s="103">
        <f t="shared" si="1"/>
        <v>1</v>
      </c>
    </row>
    <row r="59" spans="1:28" ht="12.75" x14ac:dyDescent="0.2">
      <c r="A59" s="48" t="s">
        <v>96</v>
      </c>
      <c r="B59" s="48" t="s">
        <v>178</v>
      </c>
      <c r="C59" s="49" t="s">
        <v>10</v>
      </c>
      <c r="D59" s="49" t="s">
        <v>98</v>
      </c>
      <c r="E59" s="49" t="s">
        <v>181</v>
      </c>
      <c r="F59" s="117" t="s">
        <v>10</v>
      </c>
      <c r="H59" s="50">
        <v>13.8</v>
      </c>
      <c r="I59" s="51">
        <v>26</v>
      </c>
      <c r="AA59" s="103" t="s">
        <v>257</v>
      </c>
      <c r="AB59" s="103">
        <f t="shared" si="1"/>
        <v>1</v>
      </c>
    </row>
    <row r="60" spans="1:28" ht="12.75" x14ac:dyDescent="0.2">
      <c r="A60" s="48" t="s">
        <v>96</v>
      </c>
      <c r="B60" s="48" t="s">
        <v>178</v>
      </c>
      <c r="C60" s="49" t="s">
        <v>10</v>
      </c>
      <c r="D60" s="49" t="s">
        <v>98</v>
      </c>
      <c r="E60" s="49" t="s">
        <v>182</v>
      </c>
      <c r="F60" s="117" t="s">
        <v>10</v>
      </c>
      <c r="H60" s="50">
        <v>13.8</v>
      </c>
      <c r="I60" s="51">
        <v>26</v>
      </c>
      <c r="AA60" s="103" t="s">
        <v>258</v>
      </c>
      <c r="AB60" s="103">
        <f t="shared" si="1"/>
        <v>1</v>
      </c>
    </row>
    <row r="61" spans="1:28" ht="12.75" x14ac:dyDescent="0.2">
      <c r="A61" s="48" t="s">
        <v>96</v>
      </c>
      <c r="B61" s="48" t="s">
        <v>183</v>
      </c>
      <c r="C61" s="49" t="s">
        <v>16</v>
      </c>
      <c r="D61" s="49" t="s">
        <v>98</v>
      </c>
      <c r="E61" s="49" t="s">
        <v>184</v>
      </c>
      <c r="F61" s="117" t="s">
        <v>100</v>
      </c>
      <c r="H61" s="50">
        <v>2.2999999999999998</v>
      </c>
      <c r="I61" s="51">
        <v>255</v>
      </c>
      <c r="AA61" s="103" t="s">
        <v>259</v>
      </c>
      <c r="AB61" s="103">
        <f t="shared" si="1"/>
        <v>1</v>
      </c>
    </row>
    <row r="62" spans="1:28" ht="12.75" x14ac:dyDescent="0.2">
      <c r="A62" s="48" t="s">
        <v>96</v>
      </c>
      <c r="B62" s="48" t="s">
        <v>183</v>
      </c>
      <c r="C62" s="49" t="s">
        <v>16</v>
      </c>
      <c r="D62" s="49" t="s">
        <v>98</v>
      </c>
      <c r="E62" s="49" t="s">
        <v>185</v>
      </c>
      <c r="F62" s="117" t="s">
        <v>275</v>
      </c>
      <c r="H62" s="50">
        <v>7.8</v>
      </c>
      <c r="I62" s="51">
        <v>255</v>
      </c>
      <c r="AA62" s="103" t="s">
        <v>260</v>
      </c>
      <c r="AB62" s="103">
        <f t="shared" si="1"/>
        <v>1</v>
      </c>
    </row>
    <row r="63" spans="1:28" ht="12.75" x14ac:dyDescent="0.2">
      <c r="A63" s="48" t="s">
        <v>96</v>
      </c>
      <c r="B63" s="48" t="s">
        <v>183</v>
      </c>
      <c r="C63" s="49" t="s">
        <v>9</v>
      </c>
      <c r="D63" s="49" t="s">
        <v>199</v>
      </c>
      <c r="E63" s="49" t="s">
        <v>186</v>
      </c>
      <c r="F63" s="117" t="s">
        <v>115</v>
      </c>
      <c r="H63" s="50">
        <v>1.5</v>
      </c>
      <c r="I63" s="51">
        <v>255</v>
      </c>
      <c r="AA63" s="103" t="s">
        <v>261</v>
      </c>
      <c r="AB63" s="103">
        <f t="shared" si="1"/>
        <v>1</v>
      </c>
    </row>
    <row r="64" spans="1:28" ht="12.75" x14ac:dyDescent="0.2">
      <c r="A64" s="48" t="s">
        <v>96</v>
      </c>
      <c r="B64" s="48" t="s">
        <v>183</v>
      </c>
      <c r="C64" s="49" t="s">
        <v>10</v>
      </c>
      <c r="D64" s="49" t="s">
        <v>199</v>
      </c>
      <c r="E64" s="49" t="s">
        <v>187</v>
      </c>
      <c r="F64" s="117" t="s">
        <v>188</v>
      </c>
      <c r="H64" s="50">
        <v>15</v>
      </c>
      <c r="I64" s="51">
        <v>255</v>
      </c>
      <c r="AA64" s="103" t="s">
        <v>262</v>
      </c>
      <c r="AB64" s="103">
        <f t="shared" si="1"/>
        <v>1</v>
      </c>
    </row>
    <row r="65" spans="1:28" ht="12.75" x14ac:dyDescent="0.2">
      <c r="A65" s="48" t="s">
        <v>96</v>
      </c>
      <c r="B65" s="48" t="s">
        <v>95</v>
      </c>
      <c r="C65" s="49" t="s">
        <v>16</v>
      </c>
      <c r="D65" s="49" t="s">
        <v>98</v>
      </c>
      <c r="E65" s="49" t="s">
        <v>189</v>
      </c>
      <c r="F65" s="117" t="s">
        <v>100</v>
      </c>
      <c r="H65" s="50">
        <v>4</v>
      </c>
      <c r="I65" s="51">
        <v>255</v>
      </c>
      <c r="AA65" s="103" t="s">
        <v>263</v>
      </c>
      <c r="AB65" s="103">
        <f t="shared" si="1"/>
        <v>1</v>
      </c>
    </row>
    <row r="66" spans="1:28" ht="12.75" x14ac:dyDescent="0.2">
      <c r="A66" s="48" t="s">
        <v>96</v>
      </c>
      <c r="B66" s="48" t="s">
        <v>95</v>
      </c>
      <c r="C66" s="49" t="s">
        <v>16</v>
      </c>
      <c r="D66" s="49" t="s">
        <v>98</v>
      </c>
      <c r="E66" s="49" t="s">
        <v>190</v>
      </c>
      <c r="F66" s="117" t="s">
        <v>191</v>
      </c>
      <c r="H66" s="50">
        <v>2.7</v>
      </c>
      <c r="I66" s="51">
        <v>255</v>
      </c>
      <c r="AA66" s="103" t="s">
        <v>264</v>
      </c>
      <c r="AB66" s="103">
        <f t="shared" ref="AB66:AB97" si="2">COUNTIF(AA:AA,AA66)</f>
        <v>1</v>
      </c>
    </row>
    <row r="67" spans="1:28" ht="12.75" x14ac:dyDescent="0.2">
      <c r="A67" s="48" t="s">
        <v>96</v>
      </c>
      <c r="B67" s="48" t="s">
        <v>95</v>
      </c>
      <c r="C67" s="49" t="s">
        <v>10</v>
      </c>
      <c r="D67" s="49" t="s">
        <v>98</v>
      </c>
      <c r="E67" s="49" t="s">
        <v>192</v>
      </c>
      <c r="F67" s="117" t="s">
        <v>276</v>
      </c>
      <c r="H67" s="50">
        <v>14.5</v>
      </c>
      <c r="I67" s="51">
        <v>255</v>
      </c>
      <c r="AA67" s="103" t="s">
        <v>265</v>
      </c>
      <c r="AB67" s="103">
        <f t="shared" si="2"/>
        <v>1</v>
      </c>
    </row>
    <row r="68" spans="1:28" ht="12.75" x14ac:dyDescent="0.2">
      <c r="A68" s="48" t="s">
        <v>96</v>
      </c>
      <c r="B68" s="48" t="s">
        <v>95</v>
      </c>
      <c r="C68" s="49" t="s">
        <v>16</v>
      </c>
      <c r="D68" s="49" t="s">
        <v>98</v>
      </c>
      <c r="E68" s="49" t="s">
        <v>193</v>
      </c>
      <c r="F68" s="117" t="s">
        <v>277</v>
      </c>
      <c r="H68" s="50">
        <v>4.5999999999999996</v>
      </c>
      <c r="I68" s="51">
        <v>255</v>
      </c>
      <c r="AA68" s="103" t="s">
        <v>266</v>
      </c>
      <c r="AB68" s="103">
        <f t="shared" si="2"/>
        <v>1</v>
      </c>
    </row>
    <row r="69" spans="1:28" ht="12.75" x14ac:dyDescent="0.2">
      <c r="A69" s="48" t="s">
        <v>96</v>
      </c>
      <c r="B69" s="48" t="s">
        <v>95</v>
      </c>
      <c r="C69" s="49" t="s">
        <v>10</v>
      </c>
      <c r="D69" s="49" t="s">
        <v>199</v>
      </c>
      <c r="E69" s="49" t="s">
        <v>194</v>
      </c>
      <c r="F69" s="117" t="s">
        <v>188</v>
      </c>
      <c r="H69" s="50">
        <v>83.5</v>
      </c>
      <c r="I69" s="51">
        <v>255</v>
      </c>
      <c r="AA69" s="103" t="s">
        <v>267</v>
      </c>
      <c r="AB69" s="103">
        <f t="shared" si="2"/>
        <v>2</v>
      </c>
    </row>
    <row r="70" spans="1:28" x14ac:dyDescent="0.15">
      <c r="A70" s="48" t="s">
        <v>96</v>
      </c>
      <c r="B70" s="48" t="s">
        <v>95</v>
      </c>
      <c r="C70" s="49" t="s">
        <v>10</v>
      </c>
      <c r="D70" s="49" t="s">
        <v>199</v>
      </c>
      <c r="E70" s="49" t="s">
        <v>194</v>
      </c>
      <c r="F70" s="49" t="s">
        <v>188</v>
      </c>
      <c r="H70" s="50">
        <v>18</v>
      </c>
      <c r="I70" s="51">
        <v>255</v>
      </c>
      <c r="AA70" s="43" t="s">
        <v>267</v>
      </c>
      <c r="AB70" s="43">
        <f t="shared" si="2"/>
        <v>2</v>
      </c>
    </row>
    <row r="71" spans="1:28" x14ac:dyDescent="0.15">
      <c r="A71" s="48" t="s">
        <v>96</v>
      </c>
      <c r="B71" s="48" t="s">
        <v>95</v>
      </c>
      <c r="C71" s="49" t="s">
        <v>9</v>
      </c>
      <c r="D71" s="49" t="s">
        <v>199</v>
      </c>
      <c r="E71" s="49" t="s">
        <v>195</v>
      </c>
      <c r="F71" s="49" t="s">
        <v>115</v>
      </c>
      <c r="H71" s="50">
        <v>2.8</v>
      </c>
      <c r="I71" s="51">
        <v>255</v>
      </c>
      <c r="AA71" s="43" t="s">
        <v>268</v>
      </c>
      <c r="AB71" s="43">
        <f t="shared" si="2"/>
        <v>1</v>
      </c>
    </row>
    <row r="72" spans="1:28" x14ac:dyDescent="0.15">
      <c r="A72" s="48" t="s">
        <v>96</v>
      </c>
      <c r="B72" s="48" t="s">
        <v>95</v>
      </c>
      <c r="C72" s="49" t="s">
        <v>9</v>
      </c>
      <c r="D72" s="49" t="s">
        <v>199</v>
      </c>
      <c r="E72" s="49" t="s">
        <v>196</v>
      </c>
      <c r="F72" s="49" t="s">
        <v>197</v>
      </c>
      <c r="H72" s="50">
        <v>2.8</v>
      </c>
      <c r="I72" s="51">
        <v>255</v>
      </c>
      <c r="AA72" s="43" t="s">
        <v>269</v>
      </c>
      <c r="AB72" s="43">
        <f t="shared" si="2"/>
        <v>1</v>
      </c>
    </row>
    <row r="73" spans="1:28" x14ac:dyDescent="0.15">
      <c r="A73" s="48" t="s">
        <v>96</v>
      </c>
      <c r="B73" s="48" t="s">
        <v>95</v>
      </c>
      <c r="C73" s="49" t="s">
        <v>12</v>
      </c>
      <c r="D73" s="49" t="s">
        <v>199</v>
      </c>
      <c r="E73" s="49" t="s">
        <v>198</v>
      </c>
      <c r="F73" s="49" t="s">
        <v>272</v>
      </c>
      <c r="H73" s="50">
        <v>15.5</v>
      </c>
      <c r="I73" s="51">
        <v>255</v>
      </c>
      <c r="AA73" s="43" t="s">
        <v>270</v>
      </c>
      <c r="AB73" s="43">
        <f t="shared" si="2"/>
        <v>1</v>
      </c>
    </row>
  </sheetData>
  <conditionalFormatting sqref="E1:E1048576">
    <cfRule type="expression" dxfId="15" priority="1">
      <formula>AB1&gt;1</formula>
    </cfRule>
  </conditionalFormatting>
  <dataValidations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C1 C70:C1048576" xr:uid="{00000000-0002-0000-0000-000000000000}">
      <formula1>RS</formula1>
    </dataValidation>
  </dataValidations>
  <printOptions gridLines="1"/>
  <pageMargins left="0.75" right="0.75" top="1" bottom="1" header="0.5" footer="0.5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3:G30"/>
  <sheetViews>
    <sheetView workbookViewId="0">
      <selection activeCell="F16" sqref="F16"/>
    </sheetView>
  </sheetViews>
  <sheetFormatPr defaultColWidth="8.85546875" defaultRowHeight="12.75" x14ac:dyDescent="0.2"/>
  <cols>
    <col min="4" max="4" width="14.85546875" customWidth="1"/>
  </cols>
  <sheetData>
    <row r="3" spans="1:7" x14ac:dyDescent="0.2">
      <c r="C3" s="97"/>
      <c r="D3" s="97"/>
      <c r="E3" s="97"/>
      <c r="F3" s="97"/>
      <c r="G3" s="97"/>
    </row>
    <row r="4" spans="1:7" x14ac:dyDescent="0.2">
      <c r="A4" s="97" t="s">
        <v>67</v>
      </c>
      <c r="C4" s="97"/>
      <c r="D4" s="97"/>
      <c r="E4" s="97"/>
      <c r="F4" s="97"/>
      <c r="G4" s="97"/>
    </row>
    <row r="5" spans="1:7" x14ac:dyDescent="0.2">
      <c r="C5" s="97"/>
      <c r="D5" s="97"/>
      <c r="E5" s="97"/>
      <c r="F5" s="97"/>
      <c r="G5" s="97"/>
    </row>
    <row r="6" spans="1:7" x14ac:dyDescent="0.2">
      <c r="A6" s="97" t="s">
        <v>68</v>
      </c>
      <c r="C6" s="97"/>
      <c r="D6" s="97"/>
      <c r="E6" s="97"/>
      <c r="F6" s="97"/>
      <c r="G6" s="97"/>
    </row>
    <row r="7" spans="1:7" x14ac:dyDescent="0.2">
      <c r="B7" s="97" t="s">
        <v>69</v>
      </c>
      <c r="C7" s="98"/>
      <c r="D7" s="107">
        <f>tUren</f>
        <v>0</v>
      </c>
      <c r="E7" s="97"/>
      <c r="F7" s="97"/>
      <c r="G7" s="97"/>
    </row>
    <row r="8" spans="1:7" x14ac:dyDescent="0.2">
      <c r="B8" s="97" t="s">
        <v>70</v>
      </c>
      <c r="C8" s="98"/>
      <c r="D8" s="107">
        <f>tUrenOlga-tUren</f>
        <v>0</v>
      </c>
      <c r="E8" s="97"/>
      <c r="F8" s="97"/>
      <c r="G8" s="97"/>
    </row>
    <row r="9" spans="1:7" x14ac:dyDescent="0.2">
      <c r="B9" s="97"/>
      <c r="C9" s="97"/>
      <c r="D9" s="97"/>
      <c r="E9" s="97"/>
      <c r="F9" s="97"/>
      <c r="G9" s="97"/>
    </row>
    <row r="10" spans="1:7" x14ac:dyDescent="0.2">
      <c r="A10" s="97" t="s">
        <v>71</v>
      </c>
      <c r="B10" s="97"/>
      <c r="C10" s="97"/>
      <c r="D10" s="97"/>
      <c r="E10" s="97"/>
      <c r="F10" s="97"/>
      <c r="G10" s="97"/>
    </row>
    <row r="11" spans="1:7" x14ac:dyDescent="0.2">
      <c r="B11" s="97" t="s">
        <v>72</v>
      </c>
      <c r="C11" s="105"/>
      <c r="D11" s="108">
        <f>D7*offerteuur</f>
        <v>0</v>
      </c>
      <c r="E11" s="97"/>
      <c r="F11" s="97"/>
      <c r="G11" s="97"/>
    </row>
    <row r="12" spans="1:7" x14ac:dyDescent="0.2">
      <c r="B12" s="97" t="s">
        <v>73</v>
      </c>
      <c r="C12" s="105"/>
      <c r="D12" s="108">
        <f>D8*offerteuurolga</f>
        <v>0</v>
      </c>
      <c r="E12" s="97"/>
      <c r="F12" s="97"/>
      <c r="G12" s="97"/>
    </row>
    <row r="13" spans="1:7" x14ac:dyDescent="0.2">
      <c r="B13" s="97"/>
      <c r="C13" s="97"/>
      <c r="D13" s="108"/>
      <c r="E13" s="97"/>
      <c r="F13" s="97"/>
      <c r="G13" s="97"/>
    </row>
    <row r="14" spans="1:7" x14ac:dyDescent="0.2">
      <c r="A14" s="97" t="s">
        <v>74</v>
      </c>
      <c r="B14" s="97"/>
      <c r="C14" s="97"/>
      <c r="D14" s="108"/>
      <c r="E14" s="97"/>
      <c r="F14" s="97"/>
      <c r="G14" s="97"/>
    </row>
    <row r="15" spans="1:7" x14ac:dyDescent="0.2">
      <c r="B15" s="97" t="s">
        <v>75</v>
      </c>
      <c r="C15" s="97"/>
      <c r="D15" s="108" t="e">
        <f>qc</f>
        <v>#REF!</v>
      </c>
      <c r="E15" s="97"/>
      <c r="F15" s="97"/>
      <c r="G15" s="97"/>
    </row>
    <row r="16" spans="1:7" x14ac:dyDescent="0.2">
      <c r="B16" s="97" t="s">
        <v>76</v>
      </c>
      <c r="C16" s="97"/>
      <c r="D16" s="108" t="e">
        <f>qcolga</f>
        <v>#REF!</v>
      </c>
      <c r="E16" s="97"/>
      <c r="F16" s="97"/>
      <c r="G16" s="97"/>
    </row>
    <row r="17" spans="1:7" x14ac:dyDescent="0.2">
      <c r="B17" s="97"/>
      <c r="C17" s="97"/>
      <c r="D17" s="108"/>
      <c r="E17" s="97"/>
      <c r="F17" s="97"/>
      <c r="G17" s="97"/>
    </row>
    <row r="18" spans="1:7" x14ac:dyDescent="0.2">
      <c r="A18" s="97" t="s">
        <v>77</v>
      </c>
      <c r="B18" s="97"/>
      <c r="C18" s="97"/>
      <c r="D18" s="108"/>
      <c r="E18" s="97"/>
      <c r="F18" s="97"/>
      <c r="G18" s="97"/>
    </row>
    <row r="19" spans="1:7" x14ac:dyDescent="0.2">
      <c r="B19" s="97" t="s">
        <v>78</v>
      </c>
      <c r="C19" s="97"/>
      <c r="D19" s="108">
        <f>IF(ISERROR(D15/D7),0,D15/D7)</f>
        <v>0</v>
      </c>
      <c r="E19" s="104">
        <v>0</v>
      </c>
      <c r="F19" s="97"/>
      <c r="G19" s="97"/>
    </row>
    <row r="20" spans="1:7" x14ac:dyDescent="0.2">
      <c r="B20" s="97" t="s">
        <v>79</v>
      </c>
      <c r="C20" s="97"/>
      <c r="D20" s="108">
        <f>IF(ISERROR(D16/D8),0,D16/D8)</f>
        <v>0</v>
      </c>
      <c r="E20" s="104">
        <v>0</v>
      </c>
      <c r="F20" s="97"/>
      <c r="G20" s="97"/>
    </row>
    <row r="21" spans="1:7" x14ac:dyDescent="0.2">
      <c r="B21" s="97"/>
      <c r="C21" s="97"/>
      <c r="D21" s="108"/>
      <c r="E21" s="104"/>
      <c r="F21" s="97"/>
      <c r="G21" s="97"/>
    </row>
    <row r="22" spans="1:7" x14ac:dyDescent="0.2">
      <c r="A22" s="97" t="s">
        <v>80</v>
      </c>
      <c r="B22" s="97"/>
      <c r="C22" s="97"/>
      <c r="D22" s="108"/>
      <c r="E22" s="104"/>
      <c r="F22" s="97"/>
      <c r="G22" s="97"/>
    </row>
    <row r="23" spans="1:7" x14ac:dyDescent="0.2">
      <c r="B23" s="97" t="s">
        <v>81</v>
      </c>
      <c r="C23" s="97"/>
      <c r="D23" s="108">
        <f>IF(ISERROR((5%*D11)/D7),0,(5%*D11)/D7)</f>
        <v>0</v>
      </c>
      <c r="E23" s="104">
        <v>0</v>
      </c>
      <c r="F23" s="97"/>
      <c r="G23" s="97"/>
    </row>
    <row r="24" spans="1:7" x14ac:dyDescent="0.2">
      <c r="B24" s="97" t="s">
        <v>82</v>
      </c>
      <c r="C24" s="97"/>
      <c r="D24" s="108">
        <f>IF(ISERROR((5%*D12)/D8),0,(5%*D12)/D8)</f>
        <v>0</v>
      </c>
      <c r="E24" s="104">
        <v>0</v>
      </c>
      <c r="F24" s="97"/>
      <c r="G24" s="97"/>
    </row>
    <row r="25" spans="1:7" x14ac:dyDescent="0.2">
      <c r="B25" s="97"/>
      <c r="C25" s="97"/>
      <c r="D25" s="99"/>
      <c r="E25" s="97"/>
      <c r="F25" s="97"/>
      <c r="G25" s="97"/>
    </row>
    <row r="26" spans="1:7" x14ac:dyDescent="0.2">
      <c r="B26" s="97"/>
      <c r="C26" s="97"/>
      <c r="D26" s="97"/>
      <c r="E26" s="97"/>
      <c r="F26" s="97"/>
      <c r="G26" s="97"/>
    </row>
    <row r="27" spans="1:7" x14ac:dyDescent="0.2">
      <c r="A27" s="97" t="s">
        <v>83</v>
      </c>
      <c r="B27" s="97"/>
      <c r="C27" s="97"/>
      <c r="D27" s="97" t="s">
        <v>86</v>
      </c>
      <c r="E27" s="97" t="s">
        <v>87</v>
      </c>
      <c r="F27" s="97" t="s">
        <v>88</v>
      </c>
      <c r="G27" s="97" t="s">
        <v>89</v>
      </c>
    </row>
    <row r="28" spans="1:7" x14ac:dyDescent="0.2">
      <c r="B28" s="97" t="s">
        <v>84</v>
      </c>
      <c r="C28" s="97"/>
      <c r="D28" s="99">
        <f>offerteuur</f>
        <v>0</v>
      </c>
      <c r="E28" s="106">
        <f>D28-D19</f>
        <v>0</v>
      </c>
      <c r="F28" s="106">
        <f>D28-D23</f>
        <v>0</v>
      </c>
      <c r="G28" s="106">
        <f>D28-D19-D23</f>
        <v>0</v>
      </c>
    </row>
    <row r="29" spans="1:7" x14ac:dyDescent="0.2">
      <c r="B29" s="97" t="s">
        <v>85</v>
      </c>
      <c r="C29" s="97"/>
      <c r="D29" s="99">
        <f>offerteuurolga</f>
        <v>0</v>
      </c>
      <c r="E29" s="106">
        <f>D29-D20</f>
        <v>0</v>
      </c>
      <c r="F29" s="106">
        <f>D29-D24</f>
        <v>0</v>
      </c>
      <c r="G29" s="106">
        <f>D29-D20-D24</f>
        <v>0</v>
      </c>
    </row>
    <row r="30" spans="1:7" x14ac:dyDescent="0.2">
      <c r="B30" s="97"/>
      <c r="C30" s="97"/>
      <c r="D30" s="97"/>
      <c r="E30" s="97"/>
      <c r="F30" s="97"/>
      <c r="G30" s="97"/>
    </row>
  </sheetData>
  <sheetProtection algorithmName="SHA-512" hashValue="/LgT/1OLiyW0Yb1fPm/bQf8td4vdG7z/1JNzg5tbcFDdoU+WdNZwsUC2No/PuoTlxDgN4FxRX+TwiWMCP2J/LA==" saltValue="Lxzp8iCIu64yh5pQweyS8Q==" spinCount="100000" sheet="1" objects="1" scenarios="1"/>
  <conditionalFormatting sqref="D11:D12 D15:D16 D19:D20 D23:D24 D28:G29">
    <cfRule type="cellIs" dxfId="14" priority="1" operator="greaterThan">
      <formula>0</formula>
    </cfRule>
  </conditionalFormatting>
  <conditionalFormatting sqref="B7:G29">
    <cfRule type="expression" dxfId="13" priority="3">
      <formula>$D7=0</formula>
    </cfRule>
  </conditionalFormatting>
  <conditionalFormatting sqref="B8:D8">
    <cfRule type="expression" dxfId="12" priority="2">
      <formula>$D8=0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/>
  <dimension ref="A1:L32"/>
  <sheetViews>
    <sheetView workbookViewId="0">
      <selection activeCell="D18" sqref="D18"/>
    </sheetView>
  </sheetViews>
  <sheetFormatPr defaultColWidth="9.140625" defaultRowHeight="12.75" x14ac:dyDescent="0.2"/>
  <cols>
    <col min="1" max="4" width="9.140625" customWidth="1"/>
    <col min="6" max="6" width="13.42578125" customWidth="1"/>
    <col min="7" max="7" width="12.140625" customWidth="1"/>
    <col min="8" max="11" width="11.7109375" customWidth="1"/>
  </cols>
  <sheetData>
    <row r="1" spans="1:12" x14ac:dyDescent="0.2">
      <c r="A1" s="92" t="s">
        <v>55</v>
      </c>
      <c r="B1" s="93" t="s">
        <v>56</v>
      </c>
      <c r="C1" s="94"/>
    </row>
    <row r="2" spans="1:12" x14ac:dyDescent="0.2">
      <c r="A2" s="95" t="s">
        <v>11</v>
      </c>
      <c r="B2">
        <f>IF(ISERROR(SUM(Ruimtestaat!#REF!)),0,SUM(Ruimtestaat!#REF!))</f>
        <v>0</v>
      </c>
      <c r="C2" s="96" t="str">
        <f t="shared" ref="C2:C16" si="0">IF(B2&gt;0,"Zichtbaar","Verborgen")</f>
        <v>Verborgen</v>
      </c>
    </row>
    <row r="3" spans="1:12" x14ac:dyDescent="0.2">
      <c r="A3" s="95" t="s">
        <v>13</v>
      </c>
      <c r="B3">
        <f>IF(ISERROR(SUM(Ruimtestaat!#REF!)),0,SUM(Ruimtestaat!#REF!))</f>
        <v>0</v>
      </c>
      <c r="C3" s="96" t="str">
        <f t="shared" si="0"/>
        <v>Verborgen</v>
      </c>
    </row>
    <row r="4" spans="1:12" x14ac:dyDescent="0.2">
      <c r="A4" s="95" t="s">
        <v>10</v>
      </c>
      <c r="B4">
        <f>IF(ISERROR(SUM(Ruimtestaat!D:D)),0,SUM(Ruimtestaat!D:D))</f>
        <v>790.4000000000002</v>
      </c>
      <c r="C4" s="96" t="str">
        <f t="shared" si="0"/>
        <v>Zichtbaar</v>
      </c>
    </row>
    <row r="5" spans="1:12" x14ac:dyDescent="0.2">
      <c r="A5" s="95" t="s">
        <v>48</v>
      </c>
      <c r="B5">
        <f>IF(ISERROR(SUM(Ruimtestaat!#REF!)),0,SUM(Ruimtestaat!#REF!))</f>
        <v>0</v>
      </c>
      <c r="C5" s="96" t="str">
        <f t="shared" si="0"/>
        <v>Verborgen</v>
      </c>
    </row>
    <row r="6" spans="1:12" x14ac:dyDescent="0.2">
      <c r="A6" s="95" t="s">
        <v>49</v>
      </c>
      <c r="B6">
        <f>IF(ISERROR(SUM(Ruimtestaat!#REF!)),0,SUM(Ruimtestaat!#REF!))</f>
        <v>0</v>
      </c>
      <c r="C6" s="96" t="str">
        <f t="shared" si="0"/>
        <v>Verborgen</v>
      </c>
    </row>
    <row r="7" spans="1:12" x14ac:dyDescent="0.2">
      <c r="A7" s="95" t="s">
        <v>50</v>
      </c>
      <c r="B7">
        <f>IF(ISERROR(SUM(Ruimtestaat!#REF!)),0,SUM(Ruimtestaat!#REF!))</f>
        <v>0</v>
      </c>
      <c r="C7" s="96" t="str">
        <f t="shared" si="0"/>
        <v>Verborgen</v>
      </c>
    </row>
    <row r="8" spans="1:12" x14ac:dyDescent="0.2">
      <c r="A8" s="95" t="s">
        <v>14</v>
      </c>
      <c r="B8">
        <f>IF(ISERROR(SUM(Ruimtestaat!E:E)),0,SUM(Ruimtestaat!E:E))</f>
        <v>69</v>
      </c>
      <c r="C8" s="96" t="str">
        <f t="shared" si="0"/>
        <v>Zichtbaar</v>
      </c>
    </row>
    <row r="9" spans="1:12" x14ac:dyDescent="0.2">
      <c r="A9" s="95" t="s">
        <v>12</v>
      </c>
      <c r="B9">
        <f>IF(ISERROR(SUM(Ruimtestaat!F:F)),0,SUM(Ruimtestaat!F:F))</f>
        <v>676.99999999999989</v>
      </c>
      <c r="C9" s="96" t="str">
        <f t="shared" si="0"/>
        <v>Zichtbaar</v>
      </c>
      <c r="L9" s="97"/>
    </row>
    <row r="10" spans="1:12" x14ac:dyDescent="0.2">
      <c r="A10" s="95" t="s">
        <v>9</v>
      </c>
      <c r="B10">
        <f>IF(ISERROR(SUM(Ruimtestaat!G:G)),0,SUM(Ruimtestaat!G:G))</f>
        <v>137.19999999999999</v>
      </c>
      <c r="C10" s="96" t="str">
        <f t="shared" si="0"/>
        <v>Zichtbaar</v>
      </c>
      <c r="L10" s="97"/>
    </row>
    <row r="11" spans="1:12" x14ac:dyDescent="0.2">
      <c r="A11" s="95" t="s">
        <v>51</v>
      </c>
      <c r="B11">
        <f>IF(ISERROR(SUM(Ruimtestaat!#REF!)),0,SUM(Ruimtestaat!#REF!))</f>
        <v>0</v>
      </c>
      <c r="C11" s="96" t="str">
        <f t="shared" si="0"/>
        <v>Verborgen</v>
      </c>
      <c r="L11" s="97"/>
    </row>
    <row r="12" spans="1:12" x14ac:dyDescent="0.2">
      <c r="A12" s="95" t="s">
        <v>16</v>
      </c>
      <c r="B12">
        <f>IF(ISERROR(SUM(Ruimtestaat!H:H)),0,SUM(Ruimtestaat!H:H))</f>
        <v>311.8</v>
      </c>
      <c r="C12" s="96" t="str">
        <f t="shared" si="0"/>
        <v>Zichtbaar</v>
      </c>
      <c r="L12" s="97"/>
    </row>
    <row r="13" spans="1:12" x14ac:dyDescent="0.2">
      <c r="A13" s="95" t="s">
        <v>52</v>
      </c>
      <c r="B13">
        <f>IF(ISERROR(SUM(Ruimtestaat!#REF!)),0,SUM(Ruimtestaat!#REF!))</f>
        <v>0</v>
      </c>
      <c r="C13" s="96" t="str">
        <f t="shared" si="0"/>
        <v>Verborgen</v>
      </c>
      <c r="L13" s="97"/>
    </row>
    <row r="14" spans="1:12" x14ac:dyDescent="0.2">
      <c r="A14" s="95" t="s">
        <v>17</v>
      </c>
      <c r="B14">
        <f>IF(ISERROR(SUM(Ruimtestaat!#REF!)),0,SUM(Ruimtestaat!#REF!))</f>
        <v>0</v>
      </c>
      <c r="C14" s="96" t="str">
        <f t="shared" si="0"/>
        <v>Verborgen</v>
      </c>
      <c r="L14" s="97"/>
    </row>
    <row r="15" spans="1:12" x14ac:dyDescent="0.2">
      <c r="A15" s="95" t="s">
        <v>53</v>
      </c>
      <c r="B15">
        <f>IF(ISERROR(SUM(Ruimtestaat!#REF!)),0,SUM(Ruimtestaat!#REF!))</f>
        <v>0</v>
      </c>
      <c r="C15" s="96" t="str">
        <f t="shared" si="0"/>
        <v>Verborgen</v>
      </c>
      <c r="L15" s="97"/>
    </row>
    <row r="16" spans="1:12" ht="13.5" thickBot="1" x14ac:dyDescent="0.25">
      <c r="A16" s="100" t="s">
        <v>54</v>
      </c>
      <c r="B16" s="101">
        <v>1</v>
      </c>
      <c r="C16" s="102" t="str">
        <f t="shared" si="0"/>
        <v>Zichtbaar</v>
      </c>
      <c r="L16" s="97"/>
    </row>
    <row r="17" spans="1:12" x14ac:dyDescent="0.2">
      <c r="A17" s="95" t="s">
        <v>59</v>
      </c>
      <c r="L17" s="97"/>
    </row>
    <row r="18" spans="1:12" x14ac:dyDescent="0.2">
      <c r="C18" s="103">
        <f>COUNTIF(C2:C15,"Zichtbaar")+3</f>
        <v>8</v>
      </c>
      <c r="L18" s="97"/>
    </row>
    <row r="19" spans="1:12" x14ac:dyDescent="0.2">
      <c r="L19" s="97"/>
    </row>
    <row r="20" spans="1:12" x14ac:dyDescent="0.2">
      <c r="L20" s="97"/>
    </row>
    <row r="21" spans="1:12" x14ac:dyDescent="0.2">
      <c r="A21" t="s">
        <v>64</v>
      </c>
      <c r="B21" t="str">
        <f>Inventarisatiestaat!A2</f>
        <v>Provincie Zeeland</v>
      </c>
      <c r="L21" s="97"/>
    </row>
    <row r="22" spans="1:12" x14ac:dyDescent="0.2">
      <c r="A22" t="s">
        <v>65</v>
      </c>
      <c r="B22" t="str">
        <f>MID(B21,1,1)</f>
        <v>P</v>
      </c>
      <c r="L22" s="97"/>
    </row>
    <row r="23" spans="1:12" x14ac:dyDescent="0.2">
      <c r="L23" s="97"/>
    </row>
    <row r="24" spans="1:12" x14ac:dyDescent="0.2">
      <c r="L24" s="97"/>
    </row>
    <row r="25" spans="1:12" x14ac:dyDescent="0.2">
      <c r="L25" s="97"/>
    </row>
    <row r="26" spans="1:12" x14ac:dyDescent="0.2">
      <c r="L26" s="97"/>
    </row>
    <row r="27" spans="1:12" x14ac:dyDescent="0.2">
      <c r="L27" s="97"/>
    </row>
    <row r="28" spans="1:12" x14ac:dyDescent="0.2">
      <c r="L28" s="97"/>
    </row>
    <row r="29" spans="1:12" x14ac:dyDescent="0.2">
      <c r="L29" s="97"/>
    </row>
    <row r="30" spans="1:12" x14ac:dyDescent="0.2">
      <c r="L30" s="97"/>
    </row>
    <row r="31" spans="1:12" x14ac:dyDescent="0.2">
      <c r="F31" s="97"/>
      <c r="G31" s="97"/>
      <c r="H31" s="97"/>
      <c r="I31" s="97"/>
      <c r="J31" s="97"/>
      <c r="K31" s="97"/>
      <c r="L31" s="97"/>
    </row>
    <row r="32" spans="1:12" x14ac:dyDescent="0.2">
      <c r="F32" s="97"/>
      <c r="G32" s="97"/>
      <c r="H32" s="97"/>
      <c r="I32" s="97"/>
      <c r="J32" s="97"/>
      <c r="K32" s="97"/>
      <c r="L32" s="97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AS23"/>
  <sheetViews>
    <sheetView showGridLines="0" showRowColHeaders="0" showZeros="0" zoomScale="85" zoomScaleNormal="85" workbookViewId="0">
      <selection activeCell="B2" sqref="B2:R2"/>
    </sheetView>
  </sheetViews>
  <sheetFormatPr defaultColWidth="0" defaultRowHeight="12.75" customHeight="1" zeroHeight="1" x14ac:dyDescent="0.2"/>
  <cols>
    <col min="1" max="1" width="2.28515625" style="4" customWidth="1"/>
    <col min="2" max="2" width="35" style="41" customWidth="1"/>
    <col min="3" max="3" width="8.42578125" style="42" customWidth="1"/>
    <col min="4" max="9" width="14.28515625" style="40" customWidth="1"/>
    <col min="10" max="10" width="2.28515625" style="41" customWidth="1"/>
    <col min="11" max="24" width="9.140625" style="41" hidden="1" customWidth="1"/>
    <col min="25" max="43" width="9.140625" style="4" hidden="1" customWidth="1"/>
    <col min="44" max="45" width="9.140625" style="36" hidden="1" customWidth="1"/>
    <col min="46" max="16384" width="9.140625" style="4" hidden="1"/>
  </cols>
  <sheetData>
    <row r="1" spans="2:45" s="1" customFormat="1" ht="6.95" customHeight="1" thickBot="1" x14ac:dyDescent="0.25">
      <c r="B1" s="72"/>
      <c r="C1" s="73"/>
      <c r="D1" s="72"/>
      <c r="E1" s="72"/>
      <c r="F1" s="72"/>
      <c r="G1" s="72"/>
      <c r="H1" s="72"/>
      <c r="I1" s="72"/>
      <c r="AR1" s="35"/>
      <c r="AS1" s="35"/>
    </row>
    <row r="2" spans="2:45" s="1" customFormat="1" ht="13.5" thickBot="1" x14ac:dyDescent="0.25">
      <c r="B2" s="167" t="str">
        <f>UPPER(CONCATENATE("Ruimtestaat ",Inventarisatiestaat!A2))</f>
        <v>RUIMTESTAAT PROVINCIE ZEELAND</v>
      </c>
      <c r="C2" s="168"/>
      <c r="D2" s="169"/>
      <c r="E2" s="169"/>
      <c r="F2" s="169"/>
      <c r="G2" s="169"/>
      <c r="H2" s="169"/>
      <c r="I2" s="170"/>
      <c r="AR2" s="35"/>
      <c r="AS2" s="35"/>
    </row>
    <row r="3" spans="2:45" s="1" customFormat="1" ht="6.75" customHeight="1" x14ac:dyDescent="0.2">
      <c r="B3" s="171"/>
      <c r="C3" s="172"/>
      <c r="D3" s="172"/>
      <c r="E3" s="172"/>
      <c r="F3" s="172"/>
      <c r="G3" s="172"/>
      <c r="H3" s="172"/>
      <c r="I3" s="173"/>
      <c r="AR3" s="35"/>
      <c r="AS3" s="35"/>
    </row>
    <row r="4" spans="2:45" s="1" customFormat="1" ht="96.75" customHeight="1" x14ac:dyDescent="0.2">
      <c r="B4" s="68" t="s">
        <v>1</v>
      </c>
      <c r="C4" s="69" t="s">
        <v>15</v>
      </c>
      <c r="D4" s="70" t="s">
        <v>10</v>
      </c>
      <c r="E4" s="70" t="s">
        <v>14</v>
      </c>
      <c r="F4" s="70" t="s">
        <v>12</v>
      </c>
      <c r="G4" s="70" t="s">
        <v>9</v>
      </c>
      <c r="H4" s="70" t="s">
        <v>16</v>
      </c>
      <c r="I4" s="71" t="s">
        <v>18</v>
      </c>
      <c r="AR4" s="35"/>
      <c r="AS4" s="35"/>
    </row>
    <row r="5" spans="2:45" s="1" customFormat="1" ht="8.25" customHeight="1" thickBot="1" x14ac:dyDescent="0.25">
      <c r="B5" s="174"/>
      <c r="C5" s="175"/>
      <c r="D5" s="175"/>
      <c r="E5" s="175"/>
      <c r="F5" s="175"/>
      <c r="G5" s="175"/>
      <c r="H5" s="175"/>
      <c r="I5" s="176"/>
      <c r="AR5" s="35"/>
      <c r="AS5" s="35"/>
    </row>
    <row r="6" spans="2:45" ht="12.75" customHeight="1" x14ac:dyDescent="0.15">
      <c r="B6" s="135" t="s">
        <v>95</v>
      </c>
      <c r="C6" s="122">
        <v>255</v>
      </c>
      <c r="D6" s="125">
        <f>SUMIFS(Inventarisatiestaat!$H:$H,Inventarisatiestaat!$B:$B,$AR6,Inventarisatiestaat!$C:$C,D$4,Inventarisatiestaat!$I:$I,$C6)</f>
        <v>116</v>
      </c>
      <c r="E6" s="125">
        <f>SUMIFS(Inventarisatiestaat!$H:$H,Inventarisatiestaat!$B:$B,$AR6,Inventarisatiestaat!$C:$C,E$4,Inventarisatiestaat!$I:$I,$C6)</f>
        <v>0</v>
      </c>
      <c r="F6" s="125">
        <f>SUMIFS(Inventarisatiestaat!$H:$H,Inventarisatiestaat!$B:$B,$AR6,Inventarisatiestaat!$C:$C,F$4,Inventarisatiestaat!$I:$I,$C6)</f>
        <v>15.5</v>
      </c>
      <c r="G6" s="125">
        <f>SUMIFS(Inventarisatiestaat!$H:$H,Inventarisatiestaat!$B:$B,$AR6,Inventarisatiestaat!$C:$C,G$4,Inventarisatiestaat!$I:$I,$C6)</f>
        <v>5.6</v>
      </c>
      <c r="H6" s="125">
        <f>SUMIFS(Inventarisatiestaat!$H:$H,Inventarisatiestaat!$B:$B,$AR6,Inventarisatiestaat!$C:$C,H$4,Inventarisatiestaat!$I:$I,$C6)</f>
        <v>11.3</v>
      </c>
      <c r="I6" s="128">
        <f t="shared" ref="I6:I21" si="0">SUM(D6:H6)</f>
        <v>148.4</v>
      </c>
      <c r="AR6" s="48" t="s">
        <v>95</v>
      </c>
      <c r="AS6" s="36">
        <f t="shared" ref="AS6:AS21" si="1">COUNTIF($AR$6:$AR$21, AR6)</f>
        <v>1</v>
      </c>
    </row>
    <row r="7" spans="2:45" ht="12.75" customHeight="1" x14ac:dyDescent="0.15">
      <c r="B7" s="136" t="s">
        <v>183</v>
      </c>
      <c r="C7" s="123">
        <v>255</v>
      </c>
      <c r="D7" s="126">
        <f>SUMIFS(Inventarisatiestaat!$H:$H,Inventarisatiestaat!$B:$B,$AR7,Inventarisatiestaat!$C:$C,D$4,Inventarisatiestaat!$I:$I,$C7)</f>
        <v>15</v>
      </c>
      <c r="E7" s="126">
        <f>SUMIFS(Inventarisatiestaat!$H:$H,Inventarisatiestaat!$B:$B,$AR7,Inventarisatiestaat!$C:$C,E$4,Inventarisatiestaat!$I:$I,$C7)</f>
        <v>0</v>
      </c>
      <c r="F7" s="126">
        <f>SUMIFS(Inventarisatiestaat!$H:$H,Inventarisatiestaat!$B:$B,$AR7,Inventarisatiestaat!$C:$C,F$4,Inventarisatiestaat!$I:$I,$C7)</f>
        <v>0</v>
      </c>
      <c r="G7" s="126">
        <f>SUMIFS(Inventarisatiestaat!$H:$H,Inventarisatiestaat!$B:$B,$AR7,Inventarisatiestaat!$C:$C,G$4,Inventarisatiestaat!$I:$I,$C7)</f>
        <v>1.5</v>
      </c>
      <c r="H7" s="126">
        <f>SUMIFS(Inventarisatiestaat!$H:$H,Inventarisatiestaat!$B:$B,$AR7,Inventarisatiestaat!$C:$C,H$4,Inventarisatiestaat!$I:$I,$C7)</f>
        <v>10.1</v>
      </c>
      <c r="I7" s="129">
        <f t="shared" si="0"/>
        <v>26.6</v>
      </c>
      <c r="AR7" s="48" t="s">
        <v>183</v>
      </c>
      <c r="AS7" s="36">
        <f t="shared" si="1"/>
        <v>1</v>
      </c>
    </row>
    <row r="8" spans="2:45" ht="12.75" customHeight="1" x14ac:dyDescent="0.15">
      <c r="B8" s="137" t="s">
        <v>97</v>
      </c>
      <c r="C8" s="123">
        <v>26</v>
      </c>
      <c r="D8" s="126">
        <f>SUMIFS(Inventarisatiestaat!$H:$H,Inventarisatiestaat!$B:$B,$AR8,Inventarisatiestaat!$C:$C,D$4,Inventarisatiestaat!$I:$I,$C8)</f>
        <v>0</v>
      </c>
      <c r="E8" s="126">
        <f>SUMIFS(Inventarisatiestaat!$H:$H,Inventarisatiestaat!$B:$B,$AR8,Inventarisatiestaat!$C:$C,E$4,Inventarisatiestaat!$I:$I,$C8)</f>
        <v>0</v>
      </c>
      <c r="F8" s="126">
        <f>SUMIFS(Inventarisatiestaat!$H:$H,Inventarisatiestaat!$B:$B,$AR8,Inventarisatiestaat!$C:$C,F$4,Inventarisatiestaat!$I:$I,$C8)</f>
        <v>20.5</v>
      </c>
      <c r="G8" s="126">
        <f>SUMIFS(Inventarisatiestaat!$H:$H,Inventarisatiestaat!$B:$B,$AR8,Inventarisatiestaat!$C:$C,G$4,Inventarisatiestaat!$I:$I,$C8)</f>
        <v>3.5</v>
      </c>
      <c r="H8" s="126">
        <f>SUMIFS(Inventarisatiestaat!$H:$H,Inventarisatiestaat!$B:$B,$AR8,Inventarisatiestaat!$C:$C,H$4,Inventarisatiestaat!$I:$I,$C8)</f>
        <v>6.3</v>
      </c>
      <c r="I8" s="129">
        <f t="shared" si="0"/>
        <v>30.3</v>
      </c>
      <c r="AR8" s="110" t="s">
        <v>97</v>
      </c>
      <c r="AS8" s="36">
        <f t="shared" si="1"/>
        <v>1</v>
      </c>
    </row>
    <row r="9" spans="2:45" ht="12.75" customHeight="1" x14ac:dyDescent="0.15">
      <c r="B9" s="137" t="s">
        <v>174</v>
      </c>
      <c r="C9" s="123">
        <v>26</v>
      </c>
      <c r="D9" s="126">
        <f>SUMIFS(Inventarisatiestaat!$H:$H,Inventarisatiestaat!$B:$B,$AR9,Inventarisatiestaat!$C:$C,D$4,Inventarisatiestaat!$I:$I,$C9)</f>
        <v>0</v>
      </c>
      <c r="E9" s="126">
        <f>SUMIFS(Inventarisatiestaat!$H:$H,Inventarisatiestaat!$B:$B,$AR9,Inventarisatiestaat!$C:$C,E$4,Inventarisatiestaat!$I:$I,$C9)</f>
        <v>0</v>
      </c>
      <c r="F9" s="126">
        <f>SUMIFS(Inventarisatiestaat!$H:$H,Inventarisatiestaat!$B:$B,$AR9,Inventarisatiestaat!$C:$C,F$4,Inventarisatiestaat!$I:$I,$C9)</f>
        <v>20</v>
      </c>
      <c r="G9" s="126">
        <f>SUMIFS(Inventarisatiestaat!$H:$H,Inventarisatiestaat!$B:$B,$AR9,Inventarisatiestaat!$C:$C,G$4,Inventarisatiestaat!$I:$I,$C9)</f>
        <v>5.2</v>
      </c>
      <c r="H9" s="126">
        <f>SUMIFS(Inventarisatiestaat!$H:$H,Inventarisatiestaat!$B:$B,$AR9,Inventarisatiestaat!$C:$C,H$4,Inventarisatiestaat!$I:$I,$C9)</f>
        <v>6</v>
      </c>
      <c r="I9" s="129">
        <f t="shared" si="0"/>
        <v>31.2</v>
      </c>
      <c r="AR9" s="110" t="s">
        <v>174</v>
      </c>
      <c r="AS9" s="36">
        <f t="shared" si="1"/>
        <v>1</v>
      </c>
    </row>
    <row r="10" spans="2:45" ht="12.75" customHeight="1" x14ac:dyDescent="0.15">
      <c r="B10" s="137" t="s">
        <v>150</v>
      </c>
      <c r="C10" s="123">
        <v>26</v>
      </c>
      <c r="D10" s="126">
        <f>SUMIFS(Inventarisatiestaat!$H:$H,Inventarisatiestaat!$B:$B,$AR10,Inventarisatiestaat!$C:$C,D$4,Inventarisatiestaat!$I:$I,$C10)</f>
        <v>0</v>
      </c>
      <c r="E10" s="126">
        <f>SUMIFS(Inventarisatiestaat!$H:$H,Inventarisatiestaat!$B:$B,$AR10,Inventarisatiestaat!$C:$C,E$4,Inventarisatiestaat!$I:$I,$C10)</f>
        <v>0</v>
      </c>
      <c r="F10" s="126">
        <f>SUMIFS(Inventarisatiestaat!$H:$H,Inventarisatiestaat!$B:$B,$AR10,Inventarisatiestaat!$C:$C,F$4,Inventarisatiestaat!$I:$I,$C10)</f>
        <v>12.4</v>
      </c>
      <c r="G10" s="126">
        <f>SUMIFS(Inventarisatiestaat!$H:$H,Inventarisatiestaat!$B:$B,$AR10,Inventarisatiestaat!$C:$C,G$4,Inventarisatiestaat!$I:$I,$C10)</f>
        <v>1.9</v>
      </c>
      <c r="H10" s="126">
        <f>SUMIFS(Inventarisatiestaat!$H:$H,Inventarisatiestaat!$B:$B,$AR10,Inventarisatiestaat!$C:$C,H$4,Inventarisatiestaat!$I:$I,$C10)</f>
        <v>4.3</v>
      </c>
      <c r="I10" s="129">
        <f t="shared" si="0"/>
        <v>18.600000000000001</v>
      </c>
      <c r="AR10" s="110" t="s">
        <v>150</v>
      </c>
      <c r="AS10" s="36">
        <f t="shared" si="1"/>
        <v>1</v>
      </c>
    </row>
    <row r="11" spans="2:45" ht="12.75" customHeight="1" x14ac:dyDescent="0.15">
      <c r="B11" s="137" t="s">
        <v>167</v>
      </c>
      <c r="C11" s="123">
        <v>52</v>
      </c>
      <c r="D11" s="126">
        <f>SUMIFS(Inventarisatiestaat!$H:$H,Inventarisatiestaat!$B:$B,$AR11,Inventarisatiestaat!$C:$C,D$4,Inventarisatiestaat!$I:$I,$C11)</f>
        <v>33.799999999999997</v>
      </c>
      <c r="E11" s="126">
        <f>SUMIFS(Inventarisatiestaat!$H:$H,Inventarisatiestaat!$B:$B,$AR11,Inventarisatiestaat!$C:$C,E$4,Inventarisatiestaat!$I:$I,$C11)</f>
        <v>0</v>
      </c>
      <c r="F11" s="126">
        <f>SUMIFS(Inventarisatiestaat!$H:$H,Inventarisatiestaat!$B:$B,$AR11,Inventarisatiestaat!$C:$C,F$4,Inventarisatiestaat!$I:$I,$C11)</f>
        <v>33.799999999999997</v>
      </c>
      <c r="G11" s="126">
        <f>SUMIFS(Inventarisatiestaat!$H:$H,Inventarisatiestaat!$B:$B,$AR11,Inventarisatiestaat!$C:$C,G$4,Inventarisatiestaat!$I:$I,$C11)</f>
        <v>4.2</v>
      </c>
      <c r="H11" s="126">
        <f>SUMIFS(Inventarisatiestaat!$H:$H,Inventarisatiestaat!$B:$B,$AR11,Inventarisatiestaat!$C:$C,H$4,Inventarisatiestaat!$I:$I,$C11)</f>
        <v>14</v>
      </c>
      <c r="I11" s="129">
        <f t="shared" si="0"/>
        <v>85.8</v>
      </c>
      <c r="AR11" s="110" t="s">
        <v>167</v>
      </c>
      <c r="AS11" s="36">
        <f t="shared" si="1"/>
        <v>1</v>
      </c>
    </row>
    <row r="12" spans="2:45" ht="12.75" customHeight="1" x14ac:dyDescent="0.15">
      <c r="B12" s="137" t="s">
        <v>141</v>
      </c>
      <c r="C12" s="123">
        <v>52</v>
      </c>
      <c r="D12" s="126">
        <f>SUMIFS(Inventarisatiestaat!$H:$H,Inventarisatiestaat!$B:$B,$AR12,Inventarisatiestaat!$C:$C,D$4,Inventarisatiestaat!$I:$I,$C12)</f>
        <v>0</v>
      </c>
      <c r="E12" s="126">
        <f>SUMIFS(Inventarisatiestaat!$H:$H,Inventarisatiestaat!$B:$B,$AR12,Inventarisatiestaat!$C:$C,E$4,Inventarisatiestaat!$I:$I,$C12)</f>
        <v>0</v>
      </c>
      <c r="F12" s="126">
        <f>SUMIFS(Inventarisatiestaat!$H:$H,Inventarisatiestaat!$B:$B,$AR12,Inventarisatiestaat!$C:$C,F$4,Inventarisatiestaat!$I:$I,$C12)</f>
        <v>27.7</v>
      </c>
      <c r="G12" s="126">
        <f>SUMIFS(Inventarisatiestaat!$H:$H,Inventarisatiestaat!$B:$B,$AR12,Inventarisatiestaat!$C:$C,G$4,Inventarisatiestaat!$I:$I,$C12)</f>
        <v>2.1</v>
      </c>
      <c r="H12" s="126">
        <f>SUMIFS(Inventarisatiestaat!$H:$H,Inventarisatiestaat!$B:$B,$AR12,Inventarisatiestaat!$C:$C,H$4,Inventarisatiestaat!$I:$I,$C12)</f>
        <v>7.2</v>
      </c>
      <c r="I12" s="129">
        <f t="shared" si="0"/>
        <v>37</v>
      </c>
      <c r="AR12" s="110" t="s">
        <v>141</v>
      </c>
      <c r="AS12" s="36">
        <f t="shared" si="1"/>
        <v>1</v>
      </c>
    </row>
    <row r="13" spans="2:45" ht="12.75" customHeight="1" x14ac:dyDescent="0.15">
      <c r="B13" s="137" t="s">
        <v>146</v>
      </c>
      <c r="C13" s="123">
        <v>52</v>
      </c>
      <c r="D13" s="126">
        <f>SUMIFS(Inventarisatiestaat!$H:$H,Inventarisatiestaat!$B:$B,$AR13,Inventarisatiestaat!$C:$C,D$4,Inventarisatiestaat!$I:$I,$C13)</f>
        <v>18.899999999999999</v>
      </c>
      <c r="E13" s="126">
        <f>SUMIFS(Inventarisatiestaat!$H:$H,Inventarisatiestaat!$B:$B,$AR13,Inventarisatiestaat!$C:$C,E$4,Inventarisatiestaat!$I:$I,$C13)</f>
        <v>0</v>
      </c>
      <c r="F13" s="126">
        <f>SUMIFS(Inventarisatiestaat!$H:$H,Inventarisatiestaat!$B:$B,$AR13,Inventarisatiestaat!$C:$C,F$4,Inventarisatiestaat!$I:$I,$C13)</f>
        <v>24.6</v>
      </c>
      <c r="G13" s="126">
        <f>SUMIFS(Inventarisatiestaat!$H:$H,Inventarisatiestaat!$B:$B,$AR13,Inventarisatiestaat!$C:$C,G$4,Inventarisatiestaat!$I:$I,$C13)</f>
        <v>2.6</v>
      </c>
      <c r="H13" s="126">
        <f>SUMIFS(Inventarisatiestaat!$H:$H,Inventarisatiestaat!$B:$B,$AR13,Inventarisatiestaat!$C:$C,H$4,Inventarisatiestaat!$I:$I,$C13)</f>
        <v>0</v>
      </c>
      <c r="I13" s="129">
        <f t="shared" si="0"/>
        <v>46.1</v>
      </c>
      <c r="AR13" s="110" t="s">
        <v>146</v>
      </c>
      <c r="AS13" s="36">
        <f t="shared" si="1"/>
        <v>1</v>
      </c>
    </row>
    <row r="14" spans="2:45" ht="12.75" customHeight="1" x14ac:dyDescent="0.15">
      <c r="B14" s="137" t="s">
        <v>154</v>
      </c>
      <c r="C14" s="123">
        <v>104</v>
      </c>
      <c r="D14" s="126">
        <f>SUMIFS(Inventarisatiestaat!$H:$H,Inventarisatiestaat!$B:$B,$AR14,Inventarisatiestaat!$C:$C,D$4,Inventarisatiestaat!$I:$I,$C14)</f>
        <v>93.9</v>
      </c>
      <c r="E14" s="126">
        <f>SUMIFS(Inventarisatiestaat!$H:$H,Inventarisatiestaat!$B:$B,$AR14,Inventarisatiestaat!$C:$C,E$4,Inventarisatiestaat!$I:$I,$C14)</f>
        <v>34.5</v>
      </c>
      <c r="F14" s="126">
        <f>SUMIFS(Inventarisatiestaat!$H:$H,Inventarisatiestaat!$B:$B,$AR14,Inventarisatiestaat!$C:$C,F$4,Inventarisatiestaat!$I:$I,$C14)</f>
        <v>30.5</v>
      </c>
      <c r="G14" s="126">
        <f>SUMIFS(Inventarisatiestaat!$H:$H,Inventarisatiestaat!$B:$B,$AR14,Inventarisatiestaat!$C:$C,G$4,Inventarisatiestaat!$I:$I,$C14)</f>
        <v>19.5</v>
      </c>
      <c r="H14" s="126">
        <f>SUMIFS(Inventarisatiestaat!$H:$H,Inventarisatiestaat!$B:$B,$AR14,Inventarisatiestaat!$C:$C,H$4,Inventarisatiestaat!$I:$I,$C14)</f>
        <v>38.799999999999997</v>
      </c>
      <c r="I14" s="129">
        <f t="shared" si="0"/>
        <v>217.2</v>
      </c>
      <c r="AR14" s="110" t="s">
        <v>154</v>
      </c>
      <c r="AS14" s="36">
        <f t="shared" si="1"/>
        <v>1</v>
      </c>
    </row>
    <row r="15" spans="2:45" ht="12.75" customHeight="1" x14ac:dyDescent="0.15">
      <c r="B15" s="137" t="s">
        <v>108</v>
      </c>
      <c r="C15" s="123">
        <v>52</v>
      </c>
      <c r="D15" s="126">
        <f>SUMIFS(Inventarisatiestaat!$H:$H,Inventarisatiestaat!$B:$B,$AR15,Inventarisatiestaat!$C:$C,D$4,Inventarisatiestaat!$I:$I,$C15)</f>
        <v>0</v>
      </c>
      <c r="E15" s="126">
        <f>SUMIFS(Inventarisatiestaat!$H:$H,Inventarisatiestaat!$B:$B,$AR15,Inventarisatiestaat!$C:$C,E$4,Inventarisatiestaat!$I:$I,$C15)</f>
        <v>0</v>
      </c>
      <c r="F15" s="126">
        <f>SUMIFS(Inventarisatiestaat!$H:$H,Inventarisatiestaat!$B:$B,$AR15,Inventarisatiestaat!$C:$C,F$4,Inventarisatiestaat!$I:$I,$C15)</f>
        <v>14.5</v>
      </c>
      <c r="G15" s="126">
        <f>SUMIFS(Inventarisatiestaat!$H:$H,Inventarisatiestaat!$B:$B,$AR15,Inventarisatiestaat!$C:$C,G$4,Inventarisatiestaat!$I:$I,$C15)</f>
        <v>4</v>
      </c>
      <c r="H15" s="126">
        <f>SUMIFS(Inventarisatiestaat!$H:$H,Inventarisatiestaat!$B:$B,$AR15,Inventarisatiestaat!$C:$C,H$4,Inventarisatiestaat!$I:$I,$C15)</f>
        <v>0</v>
      </c>
      <c r="I15" s="129">
        <f t="shared" si="0"/>
        <v>18.5</v>
      </c>
      <c r="AR15" s="110" t="s">
        <v>108</v>
      </c>
      <c r="AS15" s="36">
        <f t="shared" si="1"/>
        <v>1</v>
      </c>
    </row>
    <row r="16" spans="2:45" ht="12.75" customHeight="1" x14ac:dyDescent="0.15">
      <c r="B16" s="137" t="s">
        <v>132</v>
      </c>
      <c r="C16" s="123">
        <v>52</v>
      </c>
      <c r="D16" s="126">
        <f>SUMIFS(Inventarisatiestaat!$H:$H,Inventarisatiestaat!$B:$B,$AR16,Inventarisatiestaat!$C:$C,D$4,Inventarisatiestaat!$I:$I,$C16)</f>
        <v>12.1</v>
      </c>
      <c r="E16" s="126">
        <f>SUMIFS(Inventarisatiestaat!$H:$H,Inventarisatiestaat!$B:$B,$AR16,Inventarisatiestaat!$C:$C,E$4,Inventarisatiestaat!$I:$I,$C16)</f>
        <v>0</v>
      </c>
      <c r="F16" s="126">
        <f>SUMIFS(Inventarisatiestaat!$H:$H,Inventarisatiestaat!$B:$B,$AR16,Inventarisatiestaat!$C:$C,F$4,Inventarisatiestaat!$I:$I,$C16)</f>
        <v>33.9</v>
      </c>
      <c r="G16" s="126">
        <f>SUMIFS(Inventarisatiestaat!$H:$H,Inventarisatiestaat!$B:$B,$AR16,Inventarisatiestaat!$C:$C,G$4,Inventarisatiestaat!$I:$I,$C16)</f>
        <v>1.9</v>
      </c>
      <c r="H16" s="126">
        <f>SUMIFS(Inventarisatiestaat!$H:$H,Inventarisatiestaat!$B:$B,$AR16,Inventarisatiestaat!$C:$C,H$4,Inventarisatiestaat!$I:$I,$C16)</f>
        <v>5.5</v>
      </c>
      <c r="I16" s="129">
        <f t="shared" si="0"/>
        <v>53.4</v>
      </c>
      <c r="AR16" s="110" t="s">
        <v>132</v>
      </c>
      <c r="AS16" s="36">
        <f t="shared" si="1"/>
        <v>1</v>
      </c>
    </row>
    <row r="17" spans="2:45" ht="12.75" customHeight="1" x14ac:dyDescent="0.15">
      <c r="B17" s="137" t="s">
        <v>137</v>
      </c>
      <c r="C17" s="123">
        <v>26</v>
      </c>
      <c r="D17" s="126">
        <f>SUMIFS(Inventarisatiestaat!$H:$H,Inventarisatiestaat!$B:$B,$AR17,Inventarisatiestaat!$C:$C,D$4,Inventarisatiestaat!$I:$I,$C17)</f>
        <v>0</v>
      </c>
      <c r="E17" s="126">
        <f>SUMIFS(Inventarisatiestaat!$H:$H,Inventarisatiestaat!$B:$B,$AR17,Inventarisatiestaat!$C:$C,E$4,Inventarisatiestaat!$I:$I,$C17)</f>
        <v>0</v>
      </c>
      <c r="F17" s="126">
        <f>SUMIFS(Inventarisatiestaat!$H:$H,Inventarisatiestaat!$B:$B,$AR17,Inventarisatiestaat!$C:$C,F$4,Inventarisatiestaat!$I:$I,$C17)</f>
        <v>21</v>
      </c>
      <c r="G17" s="126">
        <f>SUMIFS(Inventarisatiestaat!$H:$H,Inventarisatiestaat!$B:$B,$AR17,Inventarisatiestaat!$C:$C,G$4,Inventarisatiestaat!$I:$I,$C17)</f>
        <v>1.7</v>
      </c>
      <c r="H17" s="126">
        <f>SUMIFS(Inventarisatiestaat!$H:$H,Inventarisatiestaat!$B:$B,$AR17,Inventarisatiestaat!$C:$C,H$4,Inventarisatiestaat!$I:$I,$C17)</f>
        <v>7.2</v>
      </c>
      <c r="I17" s="129">
        <f t="shared" si="0"/>
        <v>29.9</v>
      </c>
      <c r="AR17" s="110" t="s">
        <v>137</v>
      </c>
      <c r="AS17" s="36">
        <f t="shared" si="1"/>
        <v>1</v>
      </c>
    </row>
    <row r="18" spans="2:45" ht="12.75" customHeight="1" x14ac:dyDescent="0.15">
      <c r="B18" s="137" t="s">
        <v>112</v>
      </c>
      <c r="C18" s="123">
        <v>52</v>
      </c>
      <c r="D18" s="126">
        <f>SUMIFS(Inventarisatiestaat!$H:$H,Inventarisatiestaat!$B:$B,$AR18,Inventarisatiestaat!$C:$C,D$4,Inventarisatiestaat!$I:$I,$C18)</f>
        <v>21.3</v>
      </c>
      <c r="E18" s="126">
        <f>SUMIFS(Inventarisatiestaat!$H:$H,Inventarisatiestaat!$B:$B,$AR18,Inventarisatiestaat!$C:$C,E$4,Inventarisatiestaat!$I:$I,$C18)</f>
        <v>0</v>
      </c>
      <c r="F18" s="126">
        <f>SUMIFS(Inventarisatiestaat!$H:$H,Inventarisatiestaat!$B:$B,$AR18,Inventarisatiestaat!$C:$C,F$4,Inventarisatiestaat!$I:$I,$C18)</f>
        <v>34.299999999999997</v>
      </c>
      <c r="G18" s="126">
        <f>SUMIFS(Inventarisatiestaat!$H:$H,Inventarisatiestaat!$B:$B,$AR18,Inventarisatiestaat!$C:$C,G$4,Inventarisatiestaat!$I:$I,$C18)</f>
        <v>3.8</v>
      </c>
      <c r="H18" s="126">
        <f>SUMIFS(Inventarisatiestaat!$H:$H,Inventarisatiestaat!$B:$B,$AR18,Inventarisatiestaat!$C:$C,H$4,Inventarisatiestaat!$I:$I,$C18)</f>
        <v>13.7</v>
      </c>
      <c r="I18" s="129">
        <f t="shared" si="0"/>
        <v>73.099999999999994</v>
      </c>
      <c r="AR18" s="110" t="s">
        <v>112</v>
      </c>
      <c r="AS18" s="36">
        <f t="shared" si="1"/>
        <v>1</v>
      </c>
    </row>
    <row r="19" spans="2:45" ht="12.75" customHeight="1" x14ac:dyDescent="0.15">
      <c r="B19" s="137" t="s">
        <v>178</v>
      </c>
      <c r="C19" s="123">
        <v>26</v>
      </c>
      <c r="D19" s="126">
        <f>SUMIFS(Inventarisatiestaat!$H:$H,Inventarisatiestaat!$B:$B,$AR19,Inventarisatiestaat!$C:$C,D$4,Inventarisatiestaat!$I:$I,$C19)</f>
        <v>27.6</v>
      </c>
      <c r="E19" s="126">
        <f>SUMIFS(Inventarisatiestaat!$H:$H,Inventarisatiestaat!$B:$B,$AR19,Inventarisatiestaat!$C:$C,E$4,Inventarisatiestaat!$I:$I,$C19)</f>
        <v>0</v>
      </c>
      <c r="F19" s="126">
        <f>SUMIFS(Inventarisatiestaat!$H:$H,Inventarisatiestaat!$B:$B,$AR19,Inventarisatiestaat!$C:$C,F$4,Inventarisatiestaat!$I:$I,$C19)</f>
        <v>0</v>
      </c>
      <c r="G19" s="126">
        <f>SUMIFS(Inventarisatiestaat!$H:$H,Inventarisatiestaat!$B:$B,$AR19,Inventarisatiestaat!$C:$C,G$4,Inventarisatiestaat!$I:$I,$C19)</f>
        <v>1.3</v>
      </c>
      <c r="H19" s="126">
        <f>SUMIFS(Inventarisatiestaat!$H:$H,Inventarisatiestaat!$B:$B,$AR19,Inventarisatiestaat!$C:$C,H$4,Inventarisatiestaat!$I:$I,$C19)</f>
        <v>4.2</v>
      </c>
      <c r="I19" s="129">
        <f t="shared" si="0"/>
        <v>33.1</v>
      </c>
      <c r="AR19" s="110" t="s">
        <v>178</v>
      </c>
      <c r="AS19" s="36">
        <f t="shared" si="1"/>
        <v>1</v>
      </c>
    </row>
    <row r="20" spans="2:45" ht="12.75" customHeight="1" x14ac:dyDescent="0.15">
      <c r="B20" s="137" t="s">
        <v>103</v>
      </c>
      <c r="C20" s="123">
        <v>26</v>
      </c>
      <c r="D20" s="126">
        <f>SUMIFS(Inventarisatiestaat!$H:$H,Inventarisatiestaat!$B:$B,$AR20,Inventarisatiestaat!$C:$C,D$4,Inventarisatiestaat!$I:$I,$C20)</f>
        <v>14.1</v>
      </c>
      <c r="E20" s="126">
        <f>SUMIFS(Inventarisatiestaat!$H:$H,Inventarisatiestaat!$B:$B,$AR20,Inventarisatiestaat!$C:$C,E$4,Inventarisatiestaat!$I:$I,$C20)</f>
        <v>0</v>
      </c>
      <c r="F20" s="126">
        <f>SUMIFS(Inventarisatiestaat!$H:$H,Inventarisatiestaat!$B:$B,$AR20,Inventarisatiestaat!$C:$C,F$4,Inventarisatiestaat!$I:$I,$C20)</f>
        <v>29.4</v>
      </c>
      <c r="G20" s="126">
        <f>SUMIFS(Inventarisatiestaat!$H:$H,Inventarisatiestaat!$B:$B,$AR20,Inventarisatiestaat!$C:$C,G$4,Inventarisatiestaat!$I:$I,$C20)</f>
        <v>3</v>
      </c>
      <c r="H20" s="126">
        <f>SUMIFS(Inventarisatiestaat!$H:$H,Inventarisatiestaat!$B:$B,$AR20,Inventarisatiestaat!$C:$C,H$4,Inventarisatiestaat!$I:$I,$C20)</f>
        <v>15.8</v>
      </c>
      <c r="I20" s="129">
        <f t="shared" si="0"/>
        <v>62.3</v>
      </c>
      <c r="AR20" s="110" t="s">
        <v>103</v>
      </c>
      <c r="AS20" s="36">
        <f t="shared" si="1"/>
        <v>1</v>
      </c>
    </row>
    <row r="21" spans="2:45" ht="12.75" customHeight="1" thickBot="1" x14ac:dyDescent="0.2">
      <c r="B21" s="138" t="s">
        <v>121</v>
      </c>
      <c r="C21" s="124">
        <v>104</v>
      </c>
      <c r="D21" s="127">
        <f>SUMIFS(Inventarisatiestaat!$H:$H,Inventarisatiestaat!$B:$B,$AR21,Inventarisatiestaat!$C:$C,D$4,Inventarisatiestaat!$I:$I,$C21)</f>
        <v>42.5</v>
      </c>
      <c r="E21" s="127">
        <f>SUMIFS(Inventarisatiestaat!$H:$H,Inventarisatiestaat!$B:$B,$AR21,Inventarisatiestaat!$C:$C,E$4,Inventarisatiestaat!$I:$I,$C21)</f>
        <v>0</v>
      </c>
      <c r="F21" s="127">
        <f>SUMIFS(Inventarisatiestaat!$H:$H,Inventarisatiestaat!$B:$B,$AR21,Inventarisatiestaat!$C:$C,F$4,Inventarisatiestaat!$I:$I,$C21)</f>
        <v>20.399999999999999</v>
      </c>
      <c r="G21" s="127">
        <f>SUMIFS(Inventarisatiestaat!$H:$H,Inventarisatiestaat!$B:$B,$AR21,Inventarisatiestaat!$C:$C,G$4,Inventarisatiestaat!$I:$I,$C21)</f>
        <v>6.8</v>
      </c>
      <c r="H21" s="127">
        <f>SUMIFS(Inventarisatiestaat!$H:$H,Inventarisatiestaat!$B:$B,$AR21,Inventarisatiestaat!$C:$C,H$4,Inventarisatiestaat!$I:$I,$C21)</f>
        <v>11.5</v>
      </c>
      <c r="I21" s="130">
        <f t="shared" si="0"/>
        <v>81.2</v>
      </c>
      <c r="AR21" s="110" t="s">
        <v>121</v>
      </c>
      <c r="AS21" s="36">
        <f t="shared" si="1"/>
        <v>1</v>
      </c>
    </row>
    <row r="22" spans="2:45" ht="12.75" customHeight="1" thickBot="1" x14ac:dyDescent="0.25">
      <c r="B22" s="133" t="s">
        <v>54</v>
      </c>
      <c r="C22" s="134"/>
      <c r="D22" s="132">
        <f>SUM(D$6:D21)</f>
        <v>395.2000000000001</v>
      </c>
      <c r="E22" s="132">
        <f>SUM(E$6:E21)</f>
        <v>34.5</v>
      </c>
      <c r="F22" s="132">
        <f>SUM(F$6:F21)</f>
        <v>338.49999999999994</v>
      </c>
      <c r="G22" s="132">
        <f>SUM(G$6:G21)</f>
        <v>68.599999999999994</v>
      </c>
      <c r="H22" s="132">
        <f>SUM(H$6:H21)</f>
        <v>155.9</v>
      </c>
      <c r="I22" s="131">
        <f>SUM(I$6:I21)</f>
        <v>992.7</v>
      </c>
    </row>
    <row r="23" spans="2:45" ht="6.95" customHeight="1" x14ac:dyDescent="0.2"/>
  </sheetData>
  <dataConsolidate link="1"/>
  <mergeCells count="3">
    <mergeCell ref="B2:I2"/>
    <mergeCell ref="B3:I3"/>
    <mergeCell ref="B5:I5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>
    <oddHeader>&amp;C&amp;F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4"/>
  <dimension ref="A1:DG66"/>
  <sheetViews>
    <sheetView showGridLines="0" showZeros="0" zoomScale="85" workbookViewId="0">
      <selection activeCell="L1" sqref="L1:XFD1048576"/>
    </sheetView>
  </sheetViews>
  <sheetFormatPr defaultColWidth="0" defaultRowHeight="12.75" zeroHeight="1" x14ac:dyDescent="0.2"/>
  <cols>
    <col min="1" max="1" width="2.28515625" style="58" customWidth="1"/>
    <col min="2" max="2" width="35" style="58" customWidth="1"/>
    <col min="3" max="3" width="8.42578125" style="66" customWidth="1"/>
    <col min="4" max="9" width="12.7109375" style="61" customWidth="1"/>
    <col min="10" max="10" width="15.7109375" style="61" customWidth="1"/>
    <col min="11" max="11" width="2.28515625" style="58" customWidth="1"/>
    <col min="12" max="44" width="9.140625" style="58" hidden="1" customWidth="1"/>
    <col min="45" max="45" width="17.85546875" style="67" hidden="1" customWidth="1"/>
    <col min="46" max="48" width="9.140625" style="63" hidden="1" customWidth="1"/>
    <col min="49" max="75" width="9.140625" style="65" hidden="1" customWidth="1"/>
    <col min="76" max="107" width="9.140625" style="64" hidden="1" customWidth="1"/>
    <col min="108" max="111" width="0" style="64" hidden="1" customWidth="1"/>
    <col min="112" max="16384" width="9.140625" style="64" hidden="1"/>
  </cols>
  <sheetData>
    <row r="1" spans="2:79" s="52" customFormat="1" ht="6.95" customHeight="1" thickBot="1" x14ac:dyDescent="0.25">
      <c r="C1" s="53"/>
      <c r="AS1" s="54"/>
      <c r="AT1" s="54"/>
      <c r="AU1" s="54"/>
      <c r="AV1" s="109"/>
      <c r="BC1" s="55"/>
      <c r="BM1" s="55"/>
      <c r="BW1" s="55"/>
    </row>
    <row r="2" spans="2:79" s="52" customFormat="1" ht="13.5" thickBot="1" x14ac:dyDescent="0.25">
      <c r="B2" s="167" t="str">
        <f>UPPER(CONCATENATE("Normenblad ",Inventarisatiestaat!A2))</f>
        <v>NORMENBLAD PROVINCIE ZEELAND</v>
      </c>
      <c r="C2" s="168"/>
      <c r="D2" s="169"/>
      <c r="E2" s="169"/>
      <c r="F2" s="169"/>
      <c r="G2" s="169"/>
      <c r="H2" s="169"/>
      <c r="I2" s="169"/>
      <c r="J2" s="170"/>
      <c r="AS2" s="54"/>
      <c r="AT2" s="54"/>
      <c r="AU2" s="54"/>
      <c r="AV2" s="54"/>
      <c r="AW2" s="177"/>
      <c r="AX2" s="177"/>
      <c r="AY2" s="177"/>
      <c r="AZ2" s="177"/>
      <c r="BA2" s="177"/>
      <c r="BB2" s="177"/>
      <c r="BC2" s="177"/>
      <c r="BG2" s="177"/>
      <c r="BH2" s="177"/>
      <c r="BI2" s="177"/>
      <c r="BJ2" s="177"/>
      <c r="BK2" s="177"/>
      <c r="BL2" s="177"/>
      <c r="BM2" s="177"/>
      <c r="BQ2" s="177"/>
      <c r="BR2" s="177"/>
      <c r="BS2" s="177"/>
      <c r="BT2" s="177"/>
      <c r="BU2" s="177"/>
      <c r="BV2" s="177"/>
      <c r="BW2" s="177"/>
    </row>
    <row r="3" spans="2:79" s="52" customFormat="1" ht="6.75" customHeight="1" thickBot="1" x14ac:dyDescent="0.25">
      <c r="B3" s="171"/>
      <c r="C3" s="172"/>
      <c r="D3" s="172"/>
      <c r="E3" s="172"/>
      <c r="F3" s="172"/>
      <c r="G3" s="172"/>
      <c r="H3" s="172"/>
      <c r="I3" s="172"/>
      <c r="J3" s="173"/>
      <c r="AS3" s="54"/>
      <c r="AT3" s="54"/>
      <c r="AU3" s="54"/>
      <c r="AV3" s="54"/>
    </row>
    <row r="4" spans="2:79" s="52" customFormat="1" ht="96.75" customHeight="1" thickBot="1" x14ac:dyDescent="0.25">
      <c r="B4" s="68" t="s">
        <v>1</v>
      </c>
      <c r="C4" s="69" t="s">
        <v>15</v>
      </c>
      <c r="D4" s="70" t="s">
        <v>10</v>
      </c>
      <c r="E4" s="70" t="s">
        <v>14</v>
      </c>
      <c r="F4" s="70" t="s">
        <v>12</v>
      </c>
      <c r="G4" s="70" t="s">
        <v>9</v>
      </c>
      <c r="H4" s="70" t="s">
        <v>16</v>
      </c>
      <c r="I4" s="69" t="s">
        <v>94</v>
      </c>
      <c r="J4" s="71"/>
      <c r="AS4" s="54" t="s">
        <v>92</v>
      </c>
      <c r="AT4" s="54" t="s">
        <v>91</v>
      </c>
      <c r="AU4" s="54"/>
      <c r="AV4" s="54"/>
      <c r="AW4" s="56" t="s">
        <v>10</v>
      </c>
      <c r="AX4" s="56" t="s">
        <v>14</v>
      </c>
      <c r="AY4" s="56" t="s">
        <v>12</v>
      </c>
      <c r="AZ4" s="56" t="s">
        <v>9</v>
      </c>
      <c r="BA4" s="56" t="s">
        <v>16</v>
      </c>
      <c r="BB4" s="57" t="s">
        <v>57</v>
      </c>
      <c r="BC4" s="57" t="s">
        <v>60</v>
      </c>
      <c r="BG4" s="56" t="s">
        <v>10</v>
      </c>
      <c r="BH4" s="56" t="s">
        <v>14</v>
      </c>
      <c r="BI4" s="56" t="s">
        <v>12</v>
      </c>
      <c r="BJ4" s="56" t="s">
        <v>9</v>
      </c>
      <c r="BK4" s="56" t="s">
        <v>16</v>
      </c>
      <c r="BL4" s="57" t="s">
        <v>57</v>
      </c>
      <c r="BM4" s="57" t="s">
        <v>61</v>
      </c>
      <c r="BQ4" s="56" t="s">
        <v>10</v>
      </c>
      <c r="BR4" s="56" t="s">
        <v>14</v>
      </c>
      <c r="BS4" s="56" t="s">
        <v>12</v>
      </c>
      <c r="BT4" s="56" t="s">
        <v>9</v>
      </c>
      <c r="BU4" s="56" t="s">
        <v>16</v>
      </c>
      <c r="BV4" s="57" t="s">
        <v>57</v>
      </c>
      <c r="BW4" s="57" t="s">
        <v>62</v>
      </c>
      <c r="CA4" s="54"/>
    </row>
    <row r="5" spans="2:79" ht="6.75" customHeight="1" thickBot="1" x14ac:dyDescent="0.2">
      <c r="B5" s="174"/>
      <c r="C5" s="175"/>
      <c r="D5" s="175"/>
      <c r="E5" s="175"/>
      <c r="F5" s="175"/>
      <c r="G5" s="175"/>
      <c r="H5" s="175"/>
      <c r="I5" s="175"/>
      <c r="J5" s="176"/>
      <c r="AS5" s="62"/>
    </row>
    <row r="6" spans="2:79" x14ac:dyDescent="0.15">
      <c r="B6" s="135" t="s">
        <v>95</v>
      </c>
      <c r="C6" s="122">
        <v>255</v>
      </c>
      <c r="D6" s="139" t="str">
        <f t="shared" ref="D6:D21" si="0">IF(AW6=0,"","in m2/uur")</f>
        <v>in m2/uur</v>
      </c>
      <c r="E6" s="139" t="str">
        <f t="shared" ref="E6:E21" si="1">IF(AX6=0,"","in m2/uur")</f>
        <v/>
      </c>
      <c r="F6" s="139" t="str">
        <f t="shared" ref="F6:F21" si="2">IF(AY6=0,"","in m2/uur")</f>
        <v>in m2/uur</v>
      </c>
      <c r="G6" s="139" t="str">
        <f t="shared" ref="G6:G21" si="3">IF(AZ6=0,"","in m2/uur")</f>
        <v>in m2/uur</v>
      </c>
      <c r="H6" s="139" t="str">
        <f t="shared" ref="H6:H21" si="4">IF(BA6=0,"","in m2/uur")</f>
        <v>in m2/uur</v>
      </c>
      <c r="I6" s="140" t="str">
        <f t="shared" ref="I6:I21" si="5">IF(BB6=0,"","in uren/dag")</f>
        <v>in uren/dag</v>
      </c>
      <c r="J6" s="145" t="str">
        <f t="shared" ref="J6:J22" si="6">IF(AV6&gt;=BC6,BM6/BW6,"Alles invullen")</f>
        <v>Alles invullen</v>
      </c>
      <c r="AS6" s="48" t="s">
        <v>95</v>
      </c>
      <c r="AT6" s="63">
        <f t="shared" ref="AT6:AT21" si="7">COUNTIF($AS$6:$AS$21, AS6)</f>
        <v>1</v>
      </c>
      <c r="AV6" s="63">
        <f t="shared" ref="AV6:AV21" si="8">COUNTIF(D6:H6,"&gt;0")</f>
        <v>0</v>
      </c>
      <c r="AW6" s="65">
        <f>IF(ISERROR(Ruimtestaat!D6),0,IF(Ruimtestaat!D6&gt;0,1,0))</f>
        <v>1</v>
      </c>
      <c r="AX6" s="65">
        <f>IF(ISERROR(Ruimtestaat!E6),0,IF(Ruimtestaat!E6&gt;0,1,0))</f>
        <v>0</v>
      </c>
      <c r="AY6" s="65">
        <f>IF(ISERROR(Ruimtestaat!F6),0,IF(Ruimtestaat!F6&gt;0,1,0))</f>
        <v>1</v>
      </c>
      <c r="AZ6" s="65">
        <f>IF(ISERROR(Ruimtestaat!G6),0,IF(Ruimtestaat!G6&gt;0,1,0))</f>
        <v>1</v>
      </c>
      <c r="BA6" s="65">
        <f>IF(ISERROR(Ruimtestaat!H6),0,IF(Ruimtestaat!H6&gt;0,1,0))</f>
        <v>1</v>
      </c>
      <c r="BB6" s="65">
        <v>1</v>
      </c>
      <c r="BC6" s="65">
        <f t="shared" ref="BC6:BC21" si="9">SUM(AW6:BA6)</f>
        <v>4</v>
      </c>
      <c r="BG6" s="65">
        <f>IF(AW6=0,0,Ruimtestaat!D6*Ruimtestaat!$C6)</f>
        <v>29580</v>
      </c>
      <c r="BH6" s="65">
        <f>IF(AX6=0,0,Ruimtestaat!E6*Ruimtestaat!$C6)</f>
        <v>0</v>
      </c>
      <c r="BI6" s="65">
        <f>IF(AY6=0,0,Ruimtestaat!F6*Ruimtestaat!$C6)</f>
        <v>3952.5</v>
      </c>
      <c r="BJ6" s="65">
        <f>IF(AZ6=0,0,Ruimtestaat!G6*Ruimtestaat!$C6)</f>
        <v>1428</v>
      </c>
      <c r="BK6" s="65">
        <f>IF(BA6=0,0,Ruimtestaat!H6*Ruimtestaat!$C6)</f>
        <v>2881.5</v>
      </c>
      <c r="BM6" s="65">
        <f t="shared" ref="BM6:BM21" si="10">SUM(BG6:BK6)</f>
        <v>37842</v>
      </c>
      <c r="BQ6" s="65">
        <f t="shared" ref="BQ6:BQ21" si="11">IF(AW6=0,0,IF(ISTEXT(D6),0,BG6/D6))</f>
        <v>0</v>
      </c>
      <c r="BR6" s="65">
        <f t="shared" ref="BR6:BR21" si="12">IF(AX6=0,0,IF(ISTEXT(E6),0,BH6/E6))</f>
        <v>0</v>
      </c>
      <c r="BS6" s="65">
        <f t="shared" ref="BS6:BS21" si="13">IF(AY6=0,0,IF(ISTEXT(F6),0,BI6/F6))</f>
        <v>0</v>
      </c>
      <c r="BT6" s="65">
        <f t="shared" ref="BT6:BT21" si="14">IF(AZ6=0,0,IF(ISTEXT(G6),0,BJ6/G6))</f>
        <v>0</v>
      </c>
      <c r="BU6" s="65">
        <f t="shared" ref="BU6:BU21" si="15">IF(BA6=0,0,IF(ISTEXT(H6),0,BK6/H6))</f>
        <v>0</v>
      </c>
      <c r="BV6" s="65">
        <f t="shared" ref="BV6:BV21" si="16">IF(ISNUMBER(I6),IF(SUM(BQ6:BU6)&lt;C6*I6,(C6*I6)-SUM(BQ6:BU6),0),0)</f>
        <v>0</v>
      </c>
      <c r="BW6" s="65">
        <f t="shared" ref="BW6:BW21" si="17">SUM(BQ6:BV6)</f>
        <v>0</v>
      </c>
    </row>
    <row r="7" spans="2:79" x14ac:dyDescent="0.15">
      <c r="B7" s="136" t="s">
        <v>183</v>
      </c>
      <c r="C7" s="123">
        <v>255</v>
      </c>
      <c r="D7" s="141" t="str">
        <f t="shared" si="0"/>
        <v>in m2/uur</v>
      </c>
      <c r="E7" s="141" t="str">
        <f t="shared" si="1"/>
        <v/>
      </c>
      <c r="F7" s="141" t="str">
        <f t="shared" si="2"/>
        <v/>
      </c>
      <c r="G7" s="141" t="str">
        <f t="shared" si="3"/>
        <v>in m2/uur</v>
      </c>
      <c r="H7" s="141" t="str">
        <f t="shared" si="4"/>
        <v>in m2/uur</v>
      </c>
      <c r="I7" s="142" t="str">
        <f t="shared" si="5"/>
        <v>in uren/dag</v>
      </c>
      <c r="J7" s="146" t="str">
        <f t="shared" si="6"/>
        <v>Alles invullen</v>
      </c>
      <c r="AS7" s="48" t="s">
        <v>183</v>
      </c>
      <c r="AT7" s="63">
        <f t="shared" si="7"/>
        <v>1</v>
      </c>
      <c r="AV7" s="63">
        <f t="shared" si="8"/>
        <v>0</v>
      </c>
      <c r="AW7" s="65">
        <f>IF(ISERROR(Ruimtestaat!D7),0,IF(Ruimtestaat!D7&gt;0,1,0))</f>
        <v>1</v>
      </c>
      <c r="AX7" s="65">
        <f>IF(ISERROR(Ruimtestaat!E7),0,IF(Ruimtestaat!E7&gt;0,1,0))</f>
        <v>0</v>
      </c>
      <c r="AY7" s="65">
        <f>IF(ISERROR(Ruimtestaat!F7),0,IF(Ruimtestaat!F7&gt;0,1,0))</f>
        <v>0</v>
      </c>
      <c r="AZ7" s="65">
        <f>IF(ISERROR(Ruimtestaat!G7),0,IF(Ruimtestaat!G7&gt;0,1,0))</f>
        <v>1</v>
      </c>
      <c r="BA7" s="65">
        <f>IF(ISERROR(Ruimtestaat!H7),0,IF(Ruimtestaat!H7&gt;0,1,0))</f>
        <v>1</v>
      </c>
      <c r="BB7" s="65">
        <v>1</v>
      </c>
      <c r="BC7" s="65">
        <f t="shared" si="9"/>
        <v>3</v>
      </c>
      <c r="BG7" s="65">
        <f>IF(AW7=0,0,Ruimtestaat!D7*Ruimtestaat!$C7)</f>
        <v>3825</v>
      </c>
      <c r="BH7" s="65">
        <f>IF(AX7=0,0,Ruimtestaat!E7*Ruimtestaat!$C7)</f>
        <v>0</v>
      </c>
      <c r="BI7" s="65">
        <f>IF(AY7=0,0,Ruimtestaat!F7*Ruimtestaat!$C7)</f>
        <v>0</v>
      </c>
      <c r="BJ7" s="65">
        <f>IF(AZ7=0,0,Ruimtestaat!G7*Ruimtestaat!$C7)</f>
        <v>382.5</v>
      </c>
      <c r="BK7" s="65">
        <f>IF(BA7=0,0,Ruimtestaat!H7*Ruimtestaat!$C7)</f>
        <v>2575.5</v>
      </c>
      <c r="BM7" s="65">
        <f t="shared" si="10"/>
        <v>6783</v>
      </c>
      <c r="BQ7" s="65">
        <f t="shared" si="11"/>
        <v>0</v>
      </c>
      <c r="BR7" s="65">
        <f t="shared" si="12"/>
        <v>0</v>
      </c>
      <c r="BS7" s="65">
        <f t="shared" si="13"/>
        <v>0</v>
      </c>
      <c r="BT7" s="65">
        <f t="shared" si="14"/>
        <v>0</v>
      </c>
      <c r="BU7" s="65">
        <f t="shared" si="15"/>
        <v>0</v>
      </c>
      <c r="BV7" s="65">
        <f t="shared" si="16"/>
        <v>0</v>
      </c>
      <c r="BW7" s="65">
        <f t="shared" si="17"/>
        <v>0</v>
      </c>
    </row>
    <row r="8" spans="2:79" x14ac:dyDescent="0.15">
      <c r="B8" s="137" t="s">
        <v>97</v>
      </c>
      <c r="C8" s="123">
        <v>26</v>
      </c>
      <c r="D8" s="141" t="str">
        <f t="shared" si="0"/>
        <v/>
      </c>
      <c r="E8" s="141" t="str">
        <f t="shared" si="1"/>
        <v/>
      </c>
      <c r="F8" s="141" t="str">
        <f t="shared" si="2"/>
        <v>in m2/uur</v>
      </c>
      <c r="G8" s="141" t="str">
        <f t="shared" si="3"/>
        <v>in m2/uur</v>
      </c>
      <c r="H8" s="141" t="str">
        <f t="shared" si="4"/>
        <v>in m2/uur</v>
      </c>
      <c r="I8" s="142" t="str">
        <f t="shared" si="5"/>
        <v>in uren/dag</v>
      </c>
      <c r="J8" s="146" t="str">
        <f t="shared" si="6"/>
        <v>Alles invullen</v>
      </c>
      <c r="AS8" s="110" t="s">
        <v>97</v>
      </c>
      <c r="AT8" s="63">
        <f t="shared" si="7"/>
        <v>1</v>
      </c>
      <c r="AV8" s="63">
        <f t="shared" si="8"/>
        <v>0</v>
      </c>
      <c r="AW8" s="65">
        <f>IF(ISERROR(Ruimtestaat!D8),0,IF(Ruimtestaat!D8&gt;0,1,0))</f>
        <v>0</v>
      </c>
      <c r="AX8" s="65">
        <f>IF(ISERROR(Ruimtestaat!E8),0,IF(Ruimtestaat!E8&gt;0,1,0))</f>
        <v>0</v>
      </c>
      <c r="AY8" s="65">
        <f>IF(ISERROR(Ruimtestaat!F8),0,IF(Ruimtestaat!F8&gt;0,1,0))</f>
        <v>1</v>
      </c>
      <c r="AZ8" s="65">
        <f>IF(ISERROR(Ruimtestaat!G8),0,IF(Ruimtestaat!G8&gt;0,1,0))</f>
        <v>1</v>
      </c>
      <c r="BA8" s="65">
        <f>IF(ISERROR(Ruimtestaat!H8),0,IF(Ruimtestaat!H8&gt;0,1,0))</f>
        <v>1</v>
      </c>
      <c r="BB8" s="65">
        <v>1</v>
      </c>
      <c r="BC8" s="65">
        <f t="shared" si="9"/>
        <v>3</v>
      </c>
      <c r="BG8" s="65">
        <f>IF(AW8=0,0,Ruimtestaat!D8*Ruimtestaat!$C8)</f>
        <v>0</v>
      </c>
      <c r="BH8" s="65">
        <f>IF(AX8=0,0,Ruimtestaat!E8*Ruimtestaat!$C8)</f>
        <v>0</v>
      </c>
      <c r="BI8" s="65">
        <f>IF(AY8=0,0,Ruimtestaat!F8*Ruimtestaat!$C8)</f>
        <v>533</v>
      </c>
      <c r="BJ8" s="65">
        <f>IF(AZ8=0,0,Ruimtestaat!G8*Ruimtestaat!$C8)</f>
        <v>91</v>
      </c>
      <c r="BK8" s="65">
        <f>IF(BA8=0,0,Ruimtestaat!H8*Ruimtestaat!$C8)</f>
        <v>163.79999999999998</v>
      </c>
      <c r="BM8" s="65">
        <f t="shared" si="10"/>
        <v>787.8</v>
      </c>
      <c r="BQ8" s="65">
        <f t="shared" si="11"/>
        <v>0</v>
      </c>
      <c r="BR8" s="65">
        <f t="shared" si="12"/>
        <v>0</v>
      </c>
      <c r="BS8" s="65">
        <f t="shared" si="13"/>
        <v>0</v>
      </c>
      <c r="BT8" s="65">
        <f t="shared" si="14"/>
        <v>0</v>
      </c>
      <c r="BU8" s="65">
        <f t="shared" si="15"/>
        <v>0</v>
      </c>
      <c r="BV8" s="65">
        <f t="shared" si="16"/>
        <v>0</v>
      </c>
      <c r="BW8" s="65">
        <f t="shared" si="17"/>
        <v>0</v>
      </c>
    </row>
    <row r="9" spans="2:79" x14ac:dyDescent="0.15">
      <c r="B9" s="137" t="s">
        <v>174</v>
      </c>
      <c r="C9" s="123">
        <v>26</v>
      </c>
      <c r="D9" s="141" t="str">
        <f t="shared" si="0"/>
        <v/>
      </c>
      <c r="E9" s="141" t="str">
        <f t="shared" si="1"/>
        <v/>
      </c>
      <c r="F9" s="141" t="str">
        <f t="shared" si="2"/>
        <v>in m2/uur</v>
      </c>
      <c r="G9" s="141" t="str">
        <f t="shared" si="3"/>
        <v>in m2/uur</v>
      </c>
      <c r="H9" s="141" t="str">
        <f t="shared" si="4"/>
        <v>in m2/uur</v>
      </c>
      <c r="I9" s="142" t="str">
        <f t="shared" si="5"/>
        <v>in uren/dag</v>
      </c>
      <c r="J9" s="146" t="str">
        <f t="shared" si="6"/>
        <v>Alles invullen</v>
      </c>
      <c r="AS9" s="110" t="s">
        <v>174</v>
      </c>
      <c r="AT9" s="63">
        <f t="shared" si="7"/>
        <v>1</v>
      </c>
      <c r="AV9" s="63">
        <f t="shared" si="8"/>
        <v>0</v>
      </c>
      <c r="AW9" s="65">
        <f>IF(ISERROR(Ruimtestaat!D9),0,IF(Ruimtestaat!D9&gt;0,1,0))</f>
        <v>0</v>
      </c>
      <c r="AX9" s="65">
        <f>IF(ISERROR(Ruimtestaat!E9),0,IF(Ruimtestaat!E9&gt;0,1,0))</f>
        <v>0</v>
      </c>
      <c r="AY9" s="65">
        <f>IF(ISERROR(Ruimtestaat!F9),0,IF(Ruimtestaat!F9&gt;0,1,0))</f>
        <v>1</v>
      </c>
      <c r="AZ9" s="65">
        <f>IF(ISERROR(Ruimtestaat!G9),0,IF(Ruimtestaat!G9&gt;0,1,0))</f>
        <v>1</v>
      </c>
      <c r="BA9" s="65">
        <f>IF(ISERROR(Ruimtestaat!H9),0,IF(Ruimtestaat!H9&gt;0,1,0))</f>
        <v>1</v>
      </c>
      <c r="BB9" s="65">
        <v>1</v>
      </c>
      <c r="BC9" s="65">
        <f t="shared" si="9"/>
        <v>3</v>
      </c>
      <c r="BG9" s="65">
        <f>IF(AW9=0,0,Ruimtestaat!D9*Ruimtestaat!$C9)</f>
        <v>0</v>
      </c>
      <c r="BH9" s="65">
        <f>IF(AX9=0,0,Ruimtestaat!E9*Ruimtestaat!$C9)</f>
        <v>0</v>
      </c>
      <c r="BI9" s="65">
        <f>IF(AY9=0,0,Ruimtestaat!F9*Ruimtestaat!$C9)</f>
        <v>520</v>
      </c>
      <c r="BJ9" s="65">
        <f>IF(AZ9=0,0,Ruimtestaat!G9*Ruimtestaat!$C9)</f>
        <v>135.20000000000002</v>
      </c>
      <c r="BK9" s="65">
        <f>IF(BA9=0,0,Ruimtestaat!H9*Ruimtestaat!$C9)</f>
        <v>156</v>
      </c>
      <c r="BM9" s="65">
        <f t="shared" si="10"/>
        <v>811.2</v>
      </c>
      <c r="BQ9" s="65">
        <f t="shared" si="11"/>
        <v>0</v>
      </c>
      <c r="BR9" s="65">
        <f t="shared" si="12"/>
        <v>0</v>
      </c>
      <c r="BS9" s="65">
        <f t="shared" si="13"/>
        <v>0</v>
      </c>
      <c r="BT9" s="65">
        <f t="shared" si="14"/>
        <v>0</v>
      </c>
      <c r="BU9" s="65">
        <f t="shared" si="15"/>
        <v>0</v>
      </c>
      <c r="BV9" s="65">
        <f t="shared" si="16"/>
        <v>0</v>
      </c>
      <c r="BW9" s="65">
        <f t="shared" si="17"/>
        <v>0</v>
      </c>
    </row>
    <row r="10" spans="2:79" x14ac:dyDescent="0.15">
      <c r="B10" s="137" t="s">
        <v>150</v>
      </c>
      <c r="C10" s="123">
        <v>26</v>
      </c>
      <c r="D10" s="141" t="str">
        <f t="shared" si="0"/>
        <v/>
      </c>
      <c r="E10" s="141" t="str">
        <f t="shared" si="1"/>
        <v/>
      </c>
      <c r="F10" s="141" t="str">
        <f t="shared" si="2"/>
        <v>in m2/uur</v>
      </c>
      <c r="G10" s="141" t="str">
        <f t="shared" si="3"/>
        <v>in m2/uur</v>
      </c>
      <c r="H10" s="141" t="str">
        <f t="shared" si="4"/>
        <v>in m2/uur</v>
      </c>
      <c r="I10" s="142" t="str">
        <f t="shared" si="5"/>
        <v>in uren/dag</v>
      </c>
      <c r="J10" s="146" t="str">
        <f t="shared" si="6"/>
        <v>Alles invullen</v>
      </c>
      <c r="AS10" s="110" t="s">
        <v>150</v>
      </c>
      <c r="AT10" s="63">
        <f t="shared" si="7"/>
        <v>1</v>
      </c>
      <c r="AV10" s="63">
        <f t="shared" si="8"/>
        <v>0</v>
      </c>
      <c r="AW10" s="65">
        <f>IF(ISERROR(Ruimtestaat!D10),0,IF(Ruimtestaat!D10&gt;0,1,0))</f>
        <v>0</v>
      </c>
      <c r="AX10" s="65">
        <f>IF(ISERROR(Ruimtestaat!E10),0,IF(Ruimtestaat!E10&gt;0,1,0))</f>
        <v>0</v>
      </c>
      <c r="AY10" s="65">
        <f>IF(ISERROR(Ruimtestaat!F10),0,IF(Ruimtestaat!F10&gt;0,1,0))</f>
        <v>1</v>
      </c>
      <c r="AZ10" s="65">
        <f>IF(ISERROR(Ruimtestaat!G10),0,IF(Ruimtestaat!G10&gt;0,1,0))</f>
        <v>1</v>
      </c>
      <c r="BA10" s="65">
        <f>IF(ISERROR(Ruimtestaat!H10),0,IF(Ruimtestaat!H10&gt;0,1,0))</f>
        <v>1</v>
      </c>
      <c r="BB10" s="65">
        <v>1</v>
      </c>
      <c r="BC10" s="65">
        <f t="shared" si="9"/>
        <v>3</v>
      </c>
      <c r="BG10" s="65">
        <f>IF(AW10=0,0,Ruimtestaat!D10*Ruimtestaat!$C10)</f>
        <v>0</v>
      </c>
      <c r="BH10" s="65">
        <f>IF(AX10=0,0,Ruimtestaat!E10*Ruimtestaat!$C10)</f>
        <v>0</v>
      </c>
      <c r="BI10" s="65">
        <f>IF(AY10=0,0,Ruimtestaat!F10*Ruimtestaat!$C10)</f>
        <v>322.40000000000003</v>
      </c>
      <c r="BJ10" s="65">
        <f>IF(AZ10=0,0,Ruimtestaat!G10*Ruimtestaat!$C10)</f>
        <v>49.4</v>
      </c>
      <c r="BK10" s="65">
        <f>IF(BA10=0,0,Ruimtestaat!H10*Ruimtestaat!$C10)</f>
        <v>111.8</v>
      </c>
      <c r="BM10" s="65">
        <f t="shared" si="10"/>
        <v>483.6</v>
      </c>
      <c r="BQ10" s="65">
        <f t="shared" si="11"/>
        <v>0</v>
      </c>
      <c r="BR10" s="65">
        <f t="shared" si="12"/>
        <v>0</v>
      </c>
      <c r="BS10" s="65">
        <f t="shared" si="13"/>
        <v>0</v>
      </c>
      <c r="BT10" s="65">
        <f t="shared" si="14"/>
        <v>0</v>
      </c>
      <c r="BU10" s="65">
        <f t="shared" si="15"/>
        <v>0</v>
      </c>
      <c r="BV10" s="65">
        <f t="shared" si="16"/>
        <v>0</v>
      </c>
      <c r="BW10" s="65">
        <f t="shared" si="17"/>
        <v>0</v>
      </c>
    </row>
    <row r="11" spans="2:79" x14ac:dyDescent="0.15">
      <c r="B11" s="137" t="s">
        <v>167</v>
      </c>
      <c r="C11" s="123">
        <v>52</v>
      </c>
      <c r="D11" s="141" t="str">
        <f t="shared" si="0"/>
        <v>in m2/uur</v>
      </c>
      <c r="E11" s="141" t="str">
        <f t="shared" si="1"/>
        <v/>
      </c>
      <c r="F11" s="141" t="str">
        <f t="shared" si="2"/>
        <v>in m2/uur</v>
      </c>
      <c r="G11" s="141" t="str">
        <f t="shared" si="3"/>
        <v>in m2/uur</v>
      </c>
      <c r="H11" s="141" t="str">
        <f t="shared" si="4"/>
        <v>in m2/uur</v>
      </c>
      <c r="I11" s="142" t="str">
        <f t="shared" si="5"/>
        <v>in uren/dag</v>
      </c>
      <c r="J11" s="146" t="str">
        <f t="shared" si="6"/>
        <v>Alles invullen</v>
      </c>
      <c r="AS11" s="110" t="s">
        <v>167</v>
      </c>
      <c r="AT11" s="63">
        <f t="shared" si="7"/>
        <v>1</v>
      </c>
      <c r="AV11" s="63">
        <f t="shared" si="8"/>
        <v>0</v>
      </c>
      <c r="AW11" s="65">
        <f>IF(ISERROR(Ruimtestaat!D11),0,IF(Ruimtestaat!D11&gt;0,1,0))</f>
        <v>1</v>
      </c>
      <c r="AX11" s="65">
        <f>IF(ISERROR(Ruimtestaat!E11),0,IF(Ruimtestaat!E11&gt;0,1,0))</f>
        <v>0</v>
      </c>
      <c r="AY11" s="65">
        <f>IF(ISERROR(Ruimtestaat!F11),0,IF(Ruimtestaat!F11&gt;0,1,0))</f>
        <v>1</v>
      </c>
      <c r="AZ11" s="65">
        <f>IF(ISERROR(Ruimtestaat!G11),0,IF(Ruimtestaat!G11&gt;0,1,0))</f>
        <v>1</v>
      </c>
      <c r="BA11" s="65">
        <f>IF(ISERROR(Ruimtestaat!H11),0,IF(Ruimtestaat!H11&gt;0,1,0))</f>
        <v>1</v>
      </c>
      <c r="BB11" s="65">
        <v>1</v>
      </c>
      <c r="BC11" s="65">
        <f t="shared" si="9"/>
        <v>4</v>
      </c>
      <c r="BG11" s="65">
        <f>IF(AW11=0,0,Ruimtestaat!D11*Ruimtestaat!$C11)</f>
        <v>1757.6</v>
      </c>
      <c r="BH11" s="65">
        <f>IF(AX11=0,0,Ruimtestaat!E11*Ruimtestaat!$C11)</f>
        <v>0</v>
      </c>
      <c r="BI11" s="65">
        <f>IF(AY11=0,0,Ruimtestaat!F11*Ruimtestaat!$C11)</f>
        <v>1757.6</v>
      </c>
      <c r="BJ11" s="65">
        <f>IF(AZ11=0,0,Ruimtestaat!G11*Ruimtestaat!$C11)</f>
        <v>218.4</v>
      </c>
      <c r="BK11" s="65">
        <f>IF(BA11=0,0,Ruimtestaat!H11*Ruimtestaat!$C11)</f>
        <v>728</v>
      </c>
      <c r="BM11" s="65">
        <f t="shared" si="10"/>
        <v>4461.6000000000004</v>
      </c>
      <c r="BQ11" s="65">
        <f t="shared" si="11"/>
        <v>0</v>
      </c>
      <c r="BR11" s="65">
        <f t="shared" si="12"/>
        <v>0</v>
      </c>
      <c r="BS11" s="65">
        <f t="shared" si="13"/>
        <v>0</v>
      </c>
      <c r="BT11" s="65">
        <f t="shared" si="14"/>
        <v>0</v>
      </c>
      <c r="BU11" s="65">
        <f t="shared" si="15"/>
        <v>0</v>
      </c>
      <c r="BV11" s="65">
        <f t="shared" si="16"/>
        <v>0</v>
      </c>
      <c r="BW11" s="65">
        <f t="shared" si="17"/>
        <v>0</v>
      </c>
    </row>
    <row r="12" spans="2:79" x14ac:dyDescent="0.15">
      <c r="B12" s="137" t="s">
        <v>141</v>
      </c>
      <c r="C12" s="123">
        <v>52</v>
      </c>
      <c r="D12" s="141" t="str">
        <f t="shared" si="0"/>
        <v/>
      </c>
      <c r="E12" s="141" t="str">
        <f t="shared" si="1"/>
        <v/>
      </c>
      <c r="F12" s="141" t="str">
        <f t="shared" si="2"/>
        <v>in m2/uur</v>
      </c>
      <c r="G12" s="141" t="str">
        <f t="shared" si="3"/>
        <v>in m2/uur</v>
      </c>
      <c r="H12" s="141" t="str">
        <f t="shared" si="4"/>
        <v>in m2/uur</v>
      </c>
      <c r="I12" s="142" t="str">
        <f t="shared" si="5"/>
        <v>in uren/dag</v>
      </c>
      <c r="J12" s="146" t="str">
        <f t="shared" si="6"/>
        <v>Alles invullen</v>
      </c>
      <c r="AS12" s="110" t="s">
        <v>141</v>
      </c>
      <c r="AT12" s="63">
        <f t="shared" si="7"/>
        <v>1</v>
      </c>
      <c r="AV12" s="63">
        <f t="shared" si="8"/>
        <v>0</v>
      </c>
      <c r="AW12" s="65">
        <f>IF(ISERROR(Ruimtestaat!D12),0,IF(Ruimtestaat!D12&gt;0,1,0))</f>
        <v>0</v>
      </c>
      <c r="AX12" s="65">
        <f>IF(ISERROR(Ruimtestaat!E12),0,IF(Ruimtestaat!E12&gt;0,1,0))</f>
        <v>0</v>
      </c>
      <c r="AY12" s="65">
        <f>IF(ISERROR(Ruimtestaat!F12),0,IF(Ruimtestaat!F12&gt;0,1,0))</f>
        <v>1</v>
      </c>
      <c r="AZ12" s="65">
        <f>IF(ISERROR(Ruimtestaat!G12),0,IF(Ruimtestaat!G12&gt;0,1,0))</f>
        <v>1</v>
      </c>
      <c r="BA12" s="65">
        <f>IF(ISERROR(Ruimtestaat!H12),0,IF(Ruimtestaat!H12&gt;0,1,0))</f>
        <v>1</v>
      </c>
      <c r="BB12" s="65">
        <v>1</v>
      </c>
      <c r="BC12" s="65">
        <f t="shared" si="9"/>
        <v>3</v>
      </c>
      <c r="BG12" s="65">
        <f>IF(AW12=0,0,Ruimtestaat!D12*Ruimtestaat!$C12)</f>
        <v>0</v>
      </c>
      <c r="BH12" s="65">
        <f>IF(AX12=0,0,Ruimtestaat!E12*Ruimtestaat!$C12)</f>
        <v>0</v>
      </c>
      <c r="BI12" s="65">
        <f>IF(AY12=0,0,Ruimtestaat!F12*Ruimtestaat!$C12)</f>
        <v>1440.3999999999999</v>
      </c>
      <c r="BJ12" s="65">
        <f>IF(AZ12=0,0,Ruimtestaat!G12*Ruimtestaat!$C12)</f>
        <v>109.2</v>
      </c>
      <c r="BK12" s="65">
        <f>IF(BA12=0,0,Ruimtestaat!H12*Ruimtestaat!$C12)</f>
        <v>374.40000000000003</v>
      </c>
      <c r="BM12" s="65">
        <f t="shared" si="10"/>
        <v>1924</v>
      </c>
      <c r="BQ12" s="65">
        <f t="shared" si="11"/>
        <v>0</v>
      </c>
      <c r="BR12" s="65">
        <f t="shared" si="12"/>
        <v>0</v>
      </c>
      <c r="BS12" s="65">
        <f t="shared" si="13"/>
        <v>0</v>
      </c>
      <c r="BT12" s="65">
        <f t="shared" si="14"/>
        <v>0</v>
      </c>
      <c r="BU12" s="65">
        <f t="shared" si="15"/>
        <v>0</v>
      </c>
      <c r="BV12" s="65">
        <f t="shared" si="16"/>
        <v>0</v>
      </c>
      <c r="BW12" s="65">
        <f t="shared" si="17"/>
        <v>0</v>
      </c>
    </row>
    <row r="13" spans="2:79" x14ac:dyDescent="0.15">
      <c r="B13" s="137" t="s">
        <v>146</v>
      </c>
      <c r="C13" s="123">
        <v>52</v>
      </c>
      <c r="D13" s="141" t="str">
        <f t="shared" si="0"/>
        <v>in m2/uur</v>
      </c>
      <c r="E13" s="141" t="str">
        <f t="shared" si="1"/>
        <v/>
      </c>
      <c r="F13" s="141" t="str">
        <f t="shared" si="2"/>
        <v>in m2/uur</v>
      </c>
      <c r="G13" s="141" t="str">
        <f t="shared" si="3"/>
        <v>in m2/uur</v>
      </c>
      <c r="H13" s="141" t="str">
        <f t="shared" si="4"/>
        <v/>
      </c>
      <c r="I13" s="142" t="str">
        <f t="shared" si="5"/>
        <v>in uren/dag</v>
      </c>
      <c r="J13" s="146" t="str">
        <f t="shared" si="6"/>
        <v>Alles invullen</v>
      </c>
      <c r="AS13" s="110" t="s">
        <v>146</v>
      </c>
      <c r="AT13" s="63">
        <f t="shared" si="7"/>
        <v>1</v>
      </c>
      <c r="AV13" s="63">
        <f t="shared" si="8"/>
        <v>0</v>
      </c>
      <c r="AW13" s="65">
        <f>IF(ISERROR(Ruimtestaat!D13),0,IF(Ruimtestaat!D13&gt;0,1,0))</f>
        <v>1</v>
      </c>
      <c r="AX13" s="65">
        <f>IF(ISERROR(Ruimtestaat!E13),0,IF(Ruimtestaat!E13&gt;0,1,0))</f>
        <v>0</v>
      </c>
      <c r="AY13" s="65">
        <f>IF(ISERROR(Ruimtestaat!F13),0,IF(Ruimtestaat!F13&gt;0,1,0))</f>
        <v>1</v>
      </c>
      <c r="AZ13" s="65">
        <f>IF(ISERROR(Ruimtestaat!G13),0,IF(Ruimtestaat!G13&gt;0,1,0))</f>
        <v>1</v>
      </c>
      <c r="BA13" s="65">
        <f>IF(ISERROR(Ruimtestaat!H13),0,IF(Ruimtestaat!H13&gt;0,1,0))</f>
        <v>0</v>
      </c>
      <c r="BB13" s="65">
        <v>1</v>
      </c>
      <c r="BC13" s="65">
        <f t="shared" si="9"/>
        <v>3</v>
      </c>
      <c r="BG13" s="65">
        <f>IF(AW13=0,0,Ruimtestaat!D13*Ruimtestaat!$C13)</f>
        <v>982.8</v>
      </c>
      <c r="BH13" s="65">
        <f>IF(AX13=0,0,Ruimtestaat!E13*Ruimtestaat!$C13)</f>
        <v>0</v>
      </c>
      <c r="BI13" s="65">
        <f>IF(AY13=0,0,Ruimtestaat!F13*Ruimtestaat!$C13)</f>
        <v>1279.2</v>
      </c>
      <c r="BJ13" s="65">
        <f>IF(AZ13=0,0,Ruimtestaat!G13*Ruimtestaat!$C13)</f>
        <v>135.20000000000002</v>
      </c>
      <c r="BK13" s="65">
        <f>IF(BA13=0,0,Ruimtestaat!H13*Ruimtestaat!$C13)</f>
        <v>0</v>
      </c>
      <c r="BM13" s="65">
        <f t="shared" si="10"/>
        <v>2397.1999999999998</v>
      </c>
      <c r="BQ13" s="65">
        <f t="shared" si="11"/>
        <v>0</v>
      </c>
      <c r="BR13" s="65">
        <f t="shared" si="12"/>
        <v>0</v>
      </c>
      <c r="BS13" s="65">
        <f t="shared" si="13"/>
        <v>0</v>
      </c>
      <c r="BT13" s="65">
        <f t="shared" si="14"/>
        <v>0</v>
      </c>
      <c r="BU13" s="65">
        <f t="shared" si="15"/>
        <v>0</v>
      </c>
      <c r="BV13" s="65">
        <f t="shared" si="16"/>
        <v>0</v>
      </c>
      <c r="BW13" s="65">
        <f t="shared" si="17"/>
        <v>0</v>
      </c>
    </row>
    <row r="14" spans="2:79" x14ac:dyDescent="0.15">
      <c r="B14" s="137" t="s">
        <v>154</v>
      </c>
      <c r="C14" s="123">
        <v>104</v>
      </c>
      <c r="D14" s="141" t="str">
        <f t="shared" si="0"/>
        <v>in m2/uur</v>
      </c>
      <c r="E14" s="141" t="str">
        <f t="shared" si="1"/>
        <v>in m2/uur</v>
      </c>
      <c r="F14" s="141" t="str">
        <f t="shared" si="2"/>
        <v>in m2/uur</v>
      </c>
      <c r="G14" s="141" t="str">
        <f t="shared" si="3"/>
        <v>in m2/uur</v>
      </c>
      <c r="H14" s="141" t="str">
        <f t="shared" si="4"/>
        <v>in m2/uur</v>
      </c>
      <c r="I14" s="142" t="str">
        <f t="shared" si="5"/>
        <v>in uren/dag</v>
      </c>
      <c r="J14" s="146" t="str">
        <f t="shared" si="6"/>
        <v>Alles invullen</v>
      </c>
      <c r="AS14" s="110" t="s">
        <v>154</v>
      </c>
      <c r="AT14" s="63">
        <f t="shared" si="7"/>
        <v>1</v>
      </c>
      <c r="AV14" s="63">
        <f t="shared" si="8"/>
        <v>0</v>
      </c>
      <c r="AW14" s="65">
        <f>IF(ISERROR(Ruimtestaat!D14),0,IF(Ruimtestaat!D14&gt;0,1,0))</f>
        <v>1</v>
      </c>
      <c r="AX14" s="65">
        <f>IF(ISERROR(Ruimtestaat!E14),0,IF(Ruimtestaat!E14&gt;0,1,0))</f>
        <v>1</v>
      </c>
      <c r="AY14" s="65">
        <f>IF(ISERROR(Ruimtestaat!F14),0,IF(Ruimtestaat!F14&gt;0,1,0))</f>
        <v>1</v>
      </c>
      <c r="AZ14" s="65">
        <f>IF(ISERROR(Ruimtestaat!G14),0,IF(Ruimtestaat!G14&gt;0,1,0))</f>
        <v>1</v>
      </c>
      <c r="BA14" s="65">
        <f>IF(ISERROR(Ruimtestaat!H14),0,IF(Ruimtestaat!H14&gt;0,1,0))</f>
        <v>1</v>
      </c>
      <c r="BB14" s="65">
        <v>1</v>
      </c>
      <c r="BC14" s="65">
        <f t="shared" si="9"/>
        <v>5</v>
      </c>
      <c r="BG14" s="65">
        <f>IF(AW14=0,0,Ruimtestaat!D14*Ruimtestaat!$C14)</f>
        <v>9765.6</v>
      </c>
      <c r="BH14" s="65">
        <f>IF(AX14=0,0,Ruimtestaat!E14*Ruimtestaat!$C14)</f>
        <v>3588</v>
      </c>
      <c r="BI14" s="65">
        <f>IF(AY14=0,0,Ruimtestaat!F14*Ruimtestaat!$C14)</f>
        <v>3172</v>
      </c>
      <c r="BJ14" s="65">
        <f>IF(AZ14=0,0,Ruimtestaat!G14*Ruimtestaat!$C14)</f>
        <v>2028</v>
      </c>
      <c r="BK14" s="65">
        <f>IF(BA14=0,0,Ruimtestaat!H14*Ruimtestaat!$C14)</f>
        <v>4035.2</v>
      </c>
      <c r="BM14" s="65">
        <f t="shared" si="10"/>
        <v>22588.799999999999</v>
      </c>
      <c r="BQ14" s="65">
        <f t="shared" si="11"/>
        <v>0</v>
      </c>
      <c r="BR14" s="65">
        <f t="shared" si="12"/>
        <v>0</v>
      </c>
      <c r="BS14" s="65">
        <f t="shared" si="13"/>
        <v>0</v>
      </c>
      <c r="BT14" s="65">
        <f t="shared" si="14"/>
        <v>0</v>
      </c>
      <c r="BU14" s="65">
        <f t="shared" si="15"/>
        <v>0</v>
      </c>
      <c r="BV14" s="65">
        <f t="shared" si="16"/>
        <v>0</v>
      </c>
      <c r="BW14" s="65">
        <f t="shared" si="17"/>
        <v>0</v>
      </c>
    </row>
    <row r="15" spans="2:79" x14ac:dyDescent="0.15">
      <c r="B15" s="137" t="s">
        <v>108</v>
      </c>
      <c r="C15" s="123">
        <v>52</v>
      </c>
      <c r="D15" s="141" t="str">
        <f t="shared" si="0"/>
        <v/>
      </c>
      <c r="E15" s="141" t="str">
        <f t="shared" si="1"/>
        <v/>
      </c>
      <c r="F15" s="141" t="str">
        <f t="shared" si="2"/>
        <v>in m2/uur</v>
      </c>
      <c r="G15" s="141" t="str">
        <f t="shared" si="3"/>
        <v>in m2/uur</v>
      </c>
      <c r="H15" s="141" t="str">
        <f t="shared" si="4"/>
        <v/>
      </c>
      <c r="I15" s="142" t="str">
        <f t="shared" si="5"/>
        <v>in uren/dag</v>
      </c>
      <c r="J15" s="146" t="str">
        <f t="shared" si="6"/>
        <v>Alles invullen</v>
      </c>
      <c r="AS15" s="110" t="s">
        <v>108</v>
      </c>
      <c r="AT15" s="63">
        <f t="shared" si="7"/>
        <v>1</v>
      </c>
      <c r="AV15" s="63">
        <f t="shared" si="8"/>
        <v>0</v>
      </c>
      <c r="AW15" s="65">
        <f>IF(ISERROR(Ruimtestaat!D15),0,IF(Ruimtestaat!D15&gt;0,1,0))</f>
        <v>0</v>
      </c>
      <c r="AX15" s="65">
        <f>IF(ISERROR(Ruimtestaat!E15),0,IF(Ruimtestaat!E15&gt;0,1,0))</f>
        <v>0</v>
      </c>
      <c r="AY15" s="65">
        <f>IF(ISERROR(Ruimtestaat!F15),0,IF(Ruimtestaat!F15&gt;0,1,0))</f>
        <v>1</v>
      </c>
      <c r="AZ15" s="65">
        <f>IF(ISERROR(Ruimtestaat!G15),0,IF(Ruimtestaat!G15&gt;0,1,0))</f>
        <v>1</v>
      </c>
      <c r="BA15" s="65">
        <f>IF(ISERROR(Ruimtestaat!H15),0,IF(Ruimtestaat!H15&gt;0,1,0))</f>
        <v>0</v>
      </c>
      <c r="BB15" s="65">
        <v>1</v>
      </c>
      <c r="BC15" s="65">
        <f t="shared" si="9"/>
        <v>2</v>
      </c>
      <c r="BG15" s="65">
        <f>IF(AW15=0,0,Ruimtestaat!D15*Ruimtestaat!$C15)</f>
        <v>0</v>
      </c>
      <c r="BH15" s="65">
        <f>IF(AX15=0,0,Ruimtestaat!E15*Ruimtestaat!$C15)</f>
        <v>0</v>
      </c>
      <c r="BI15" s="65">
        <f>IF(AY15=0,0,Ruimtestaat!F15*Ruimtestaat!$C15)</f>
        <v>754</v>
      </c>
      <c r="BJ15" s="65">
        <f>IF(AZ15=0,0,Ruimtestaat!G15*Ruimtestaat!$C15)</f>
        <v>208</v>
      </c>
      <c r="BK15" s="65">
        <f>IF(BA15=0,0,Ruimtestaat!H15*Ruimtestaat!$C15)</f>
        <v>0</v>
      </c>
      <c r="BM15" s="65">
        <f t="shared" si="10"/>
        <v>962</v>
      </c>
      <c r="BQ15" s="65">
        <f t="shared" si="11"/>
        <v>0</v>
      </c>
      <c r="BR15" s="65">
        <f t="shared" si="12"/>
        <v>0</v>
      </c>
      <c r="BS15" s="65">
        <f t="shared" si="13"/>
        <v>0</v>
      </c>
      <c r="BT15" s="65">
        <f t="shared" si="14"/>
        <v>0</v>
      </c>
      <c r="BU15" s="65">
        <f t="shared" si="15"/>
        <v>0</v>
      </c>
      <c r="BV15" s="65">
        <f t="shared" si="16"/>
        <v>0</v>
      </c>
      <c r="BW15" s="65">
        <f t="shared" si="17"/>
        <v>0</v>
      </c>
    </row>
    <row r="16" spans="2:79" x14ac:dyDescent="0.15">
      <c r="B16" s="137" t="s">
        <v>132</v>
      </c>
      <c r="C16" s="123">
        <v>52</v>
      </c>
      <c r="D16" s="141" t="str">
        <f t="shared" si="0"/>
        <v>in m2/uur</v>
      </c>
      <c r="E16" s="141" t="str">
        <f t="shared" si="1"/>
        <v/>
      </c>
      <c r="F16" s="141" t="str">
        <f t="shared" si="2"/>
        <v>in m2/uur</v>
      </c>
      <c r="G16" s="141" t="str">
        <f t="shared" si="3"/>
        <v>in m2/uur</v>
      </c>
      <c r="H16" s="141" t="str">
        <f t="shared" si="4"/>
        <v>in m2/uur</v>
      </c>
      <c r="I16" s="142" t="str">
        <f t="shared" si="5"/>
        <v>in uren/dag</v>
      </c>
      <c r="J16" s="146" t="str">
        <f t="shared" si="6"/>
        <v>Alles invullen</v>
      </c>
      <c r="AS16" s="110" t="s">
        <v>132</v>
      </c>
      <c r="AT16" s="63">
        <f t="shared" si="7"/>
        <v>1</v>
      </c>
      <c r="AV16" s="63">
        <f t="shared" si="8"/>
        <v>0</v>
      </c>
      <c r="AW16" s="65">
        <f>IF(ISERROR(Ruimtestaat!D16),0,IF(Ruimtestaat!D16&gt;0,1,0))</f>
        <v>1</v>
      </c>
      <c r="AX16" s="65">
        <f>IF(ISERROR(Ruimtestaat!E16),0,IF(Ruimtestaat!E16&gt;0,1,0))</f>
        <v>0</v>
      </c>
      <c r="AY16" s="65">
        <f>IF(ISERROR(Ruimtestaat!F16),0,IF(Ruimtestaat!F16&gt;0,1,0))</f>
        <v>1</v>
      </c>
      <c r="AZ16" s="65">
        <f>IF(ISERROR(Ruimtestaat!G16),0,IF(Ruimtestaat!G16&gt;0,1,0))</f>
        <v>1</v>
      </c>
      <c r="BA16" s="65">
        <f>IF(ISERROR(Ruimtestaat!H16),0,IF(Ruimtestaat!H16&gt;0,1,0))</f>
        <v>1</v>
      </c>
      <c r="BB16" s="65">
        <v>1</v>
      </c>
      <c r="BC16" s="65">
        <f t="shared" si="9"/>
        <v>4</v>
      </c>
      <c r="BG16" s="65">
        <f>IF(AW16=0,0,Ruimtestaat!D16*Ruimtestaat!$C16)</f>
        <v>629.19999999999993</v>
      </c>
      <c r="BH16" s="65">
        <f>IF(AX16=0,0,Ruimtestaat!E16*Ruimtestaat!$C16)</f>
        <v>0</v>
      </c>
      <c r="BI16" s="65">
        <f>IF(AY16=0,0,Ruimtestaat!F16*Ruimtestaat!$C16)</f>
        <v>1762.8</v>
      </c>
      <c r="BJ16" s="65">
        <f>IF(AZ16=0,0,Ruimtestaat!G16*Ruimtestaat!$C16)</f>
        <v>98.8</v>
      </c>
      <c r="BK16" s="65">
        <f>IF(BA16=0,0,Ruimtestaat!H16*Ruimtestaat!$C16)</f>
        <v>286</v>
      </c>
      <c r="BM16" s="65">
        <f t="shared" si="10"/>
        <v>2776.8</v>
      </c>
      <c r="BQ16" s="65">
        <f t="shared" si="11"/>
        <v>0</v>
      </c>
      <c r="BR16" s="65">
        <f t="shared" si="12"/>
        <v>0</v>
      </c>
      <c r="BS16" s="65">
        <f t="shared" si="13"/>
        <v>0</v>
      </c>
      <c r="BT16" s="65">
        <f t="shared" si="14"/>
        <v>0</v>
      </c>
      <c r="BU16" s="65">
        <f t="shared" si="15"/>
        <v>0</v>
      </c>
      <c r="BV16" s="65">
        <f t="shared" si="16"/>
        <v>0</v>
      </c>
      <c r="BW16" s="65">
        <f t="shared" si="17"/>
        <v>0</v>
      </c>
    </row>
    <row r="17" spans="2:75" x14ac:dyDescent="0.15">
      <c r="B17" s="137" t="s">
        <v>137</v>
      </c>
      <c r="C17" s="123">
        <v>26</v>
      </c>
      <c r="D17" s="141" t="str">
        <f t="shared" si="0"/>
        <v/>
      </c>
      <c r="E17" s="141" t="str">
        <f t="shared" si="1"/>
        <v/>
      </c>
      <c r="F17" s="141" t="str">
        <f t="shared" si="2"/>
        <v>in m2/uur</v>
      </c>
      <c r="G17" s="141" t="str">
        <f t="shared" si="3"/>
        <v>in m2/uur</v>
      </c>
      <c r="H17" s="141" t="str">
        <f t="shared" si="4"/>
        <v>in m2/uur</v>
      </c>
      <c r="I17" s="142" t="str">
        <f t="shared" si="5"/>
        <v>in uren/dag</v>
      </c>
      <c r="J17" s="146" t="str">
        <f t="shared" si="6"/>
        <v>Alles invullen</v>
      </c>
      <c r="AS17" s="110" t="s">
        <v>137</v>
      </c>
      <c r="AT17" s="63">
        <f t="shared" si="7"/>
        <v>1</v>
      </c>
      <c r="AV17" s="63">
        <f t="shared" si="8"/>
        <v>0</v>
      </c>
      <c r="AW17" s="65">
        <f>IF(ISERROR(Ruimtestaat!D17),0,IF(Ruimtestaat!D17&gt;0,1,0))</f>
        <v>0</v>
      </c>
      <c r="AX17" s="65">
        <f>IF(ISERROR(Ruimtestaat!E17),0,IF(Ruimtestaat!E17&gt;0,1,0))</f>
        <v>0</v>
      </c>
      <c r="AY17" s="65">
        <f>IF(ISERROR(Ruimtestaat!F17),0,IF(Ruimtestaat!F17&gt;0,1,0))</f>
        <v>1</v>
      </c>
      <c r="AZ17" s="65">
        <f>IF(ISERROR(Ruimtestaat!G17),0,IF(Ruimtestaat!G17&gt;0,1,0))</f>
        <v>1</v>
      </c>
      <c r="BA17" s="65">
        <f>IF(ISERROR(Ruimtestaat!H17),0,IF(Ruimtestaat!H17&gt;0,1,0))</f>
        <v>1</v>
      </c>
      <c r="BB17" s="65">
        <v>1</v>
      </c>
      <c r="BC17" s="65">
        <f t="shared" si="9"/>
        <v>3</v>
      </c>
      <c r="BG17" s="65">
        <f>IF(AW17=0,0,Ruimtestaat!D17*Ruimtestaat!$C17)</f>
        <v>0</v>
      </c>
      <c r="BH17" s="65">
        <f>IF(AX17=0,0,Ruimtestaat!E17*Ruimtestaat!$C17)</f>
        <v>0</v>
      </c>
      <c r="BI17" s="65">
        <f>IF(AY17=0,0,Ruimtestaat!F17*Ruimtestaat!$C17)</f>
        <v>546</v>
      </c>
      <c r="BJ17" s="65">
        <f>IF(AZ17=0,0,Ruimtestaat!G17*Ruimtestaat!$C17)</f>
        <v>44.199999999999996</v>
      </c>
      <c r="BK17" s="65">
        <f>IF(BA17=0,0,Ruimtestaat!H17*Ruimtestaat!$C17)</f>
        <v>187.20000000000002</v>
      </c>
      <c r="BM17" s="65">
        <f t="shared" si="10"/>
        <v>777.40000000000009</v>
      </c>
      <c r="BQ17" s="65">
        <f t="shared" si="11"/>
        <v>0</v>
      </c>
      <c r="BR17" s="65">
        <f t="shared" si="12"/>
        <v>0</v>
      </c>
      <c r="BS17" s="65">
        <f t="shared" si="13"/>
        <v>0</v>
      </c>
      <c r="BT17" s="65">
        <f t="shared" si="14"/>
        <v>0</v>
      </c>
      <c r="BU17" s="65">
        <f t="shared" si="15"/>
        <v>0</v>
      </c>
      <c r="BV17" s="65">
        <f t="shared" si="16"/>
        <v>0</v>
      </c>
      <c r="BW17" s="65">
        <f t="shared" si="17"/>
        <v>0</v>
      </c>
    </row>
    <row r="18" spans="2:75" x14ac:dyDescent="0.15">
      <c r="B18" s="137" t="s">
        <v>112</v>
      </c>
      <c r="C18" s="123">
        <v>52</v>
      </c>
      <c r="D18" s="141" t="str">
        <f t="shared" si="0"/>
        <v>in m2/uur</v>
      </c>
      <c r="E18" s="141" t="str">
        <f t="shared" si="1"/>
        <v/>
      </c>
      <c r="F18" s="141" t="str">
        <f t="shared" si="2"/>
        <v>in m2/uur</v>
      </c>
      <c r="G18" s="141" t="str">
        <f t="shared" si="3"/>
        <v>in m2/uur</v>
      </c>
      <c r="H18" s="141" t="str">
        <f t="shared" si="4"/>
        <v>in m2/uur</v>
      </c>
      <c r="I18" s="142" t="str">
        <f t="shared" si="5"/>
        <v>in uren/dag</v>
      </c>
      <c r="J18" s="146" t="str">
        <f t="shared" si="6"/>
        <v>Alles invullen</v>
      </c>
      <c r="AS18" s="110" t="s">
        <v>112</v>
      </c>
      <c r="AT18" s="63">
        <f t="shared" si="7"/>
        <v>1</v>
      </c>
      <c r="AV18" s="63">
        <f t="shared" si="8"/>
        <v>0</v>
      </c>
      <c r="AW18" s="65">
        <f>IF(ISERROR(Ruimtestaat!D18),0,IF(Ruimtestaat!D18&gt;0,1,0))</f>
        <v>1</v>
      </c>
      <c r="AX18" s="65">
        <f>IF(ISERROR(Ruimtestaat!E18),0,IF(Ruimtestaat!E18&gt;0,1,0))</f>
        <v>0</v>
      </c>
      <c r="AY18" s="65">
        <f>IF(ISERROR(Ruimtestaat!F18),0,IF(Ruimtestaat!F18&gt;0,1,0))</f>
        <v>1</v>
      </c>
      <c r="AZ18" s="65">
        <f>IF(ISERROR(Ruimtestaat!G18),0,IF(Ruimtestaat!G18&gt;0,1,0))</f>
        <v>1</v>
      </c>
      <c r="BA18" s="65">
        <f>IF(ISERROR(Ruimtestaat!H18),0,IF(Ruimtestaat!H18&gt;0,1,0))</f>
        <v>1</v>
      </c>
      <c r="BB18" s="65">
        <v>1</v>
      </c>
      <c r="BC18" s="65">
        <f t="shared" si="9"/>
        <v>4</v>
      </c>
      <c r="BG18" s="65">
        <f>IF(AW18=0,0,Ruimtestaat!D18*Ruimtestaat!$C18)</f>
        <v>1107.6000000000001</v>
      </c>
      <c r="BH18" s="65">
        <f>IF(AX18=0,0,Ruimtestaat!E18*Ruimtestaat!$C18)</f>
        <v>0</v>
      </c>
      <c r="BI18" s="65">
        <f>IF(AY18=0,0,Ruimtestaat!F18*Ruimtestaat!$C18)</f>
        <v>1783.6</v>
      </c>
      <c r="BJ18" s="65">
        <f>IF(AZ18=0,0,Ruimtestaat!G18*Ruimtestaat!$C18)</f>
        <v>197.6</v>
      </c>
      <c r="BK18" s="65">
        <f>IF(BA18=0,0,Ruimtestaat!H18*Ruimtestaat!$C18)</f>
        <v>712.4</v>
      </c>
      <c r="BM18" s="65">
        <f t="shared" si="10"/>
        <v>3801.2</v>
      </c>
      <c r="BQ18" s="65">
        <f t="shared" si="11"/>
        <v>0</v>
      </c>
      <c r="BR18" s="65">
        <f t="shared" si="12"/>
        <v>0</v>
      </c>
      <c r="BS18" s="65">
        <f t="shared" si="13"/>
        <v>0</v>
      </c>
      <c r="BT18" s="65">
        <f t="shared" si="14"/>
        <v>0</v>
      </c>
      <c r="BU18" s="65">
        <f t="shared" si="15"/>
        <v>0</v>
      </c>
      <c r="BV18" s="65">
        <f t="shared" si="16"/>
        <v>0</v>
      </c>
      <c r="BW18" s="65">
        <f t="shared" si="17"/>
        <v>0</v>
      </c>
    </row>
    <row r="19" spans="2:75" x14ac:dyDescent="0.15">
      <c r="B19" s="137" t="s">
        <v>178</v>
      </c>
      <c r="C19" s="123">
        <v>26</v>
      </c>
      <c r="D19" s="141" t="str">
        <f t="shared" si="0"/>
        <v>in m2/uur</v>
      </c>
      <c r="E19" s="141" t="str">
        <f t="shared" si="1"/>
        <v/>
      </c>
      <c r="F19" s="141" t="str">
        <f t="shared" si="2"/>
        <v/>
      </c>
      <c r="G19" s="141" t="str">
        <f t="shared" si="3"/>
        <v>in m2/uur</v>
      </c>
      <c r="H19" s="141" t="str">
        <f t="shared" si="4"/>
        <v>in m2/uur</v>
      </c>
      <c r="I19" s="142" t="str">
        <f t="shared" si="5"/>
        <v>in uren/dag</v>
      </c>
      <c r="J19" s="146" t="str">
        <f t="shared" si="6"/>
        <v>Alles invullen</v>
      </c>
      <c r="AS19" s="110" t="s">
        <v>178</v>
      </c>
      <c r="AT19" s="63">
        <f t="shared" si="7"/>
        <v>1</v>
      </c>
      <c r="AV19" s="63">
        <f t="shared" si="8"/>
        <v>0</v>
      </c>
      <c r="AW19" s="65">
        <f>IF(ISERROR(Ruimtestaat!D19),0,IF(Ruimtestaat!D19&gt;0,1,0))</f>
        <v>1</v>
      </c>
      <c r="AX19" s="65">
        <f>IF(ISERROR(Ruimtestaat!E19),0,IF(Ruimtestaat!E19&gt;0,1,0))</f>
        <v>0</v>
      </c>
      <c r="AY19" s="65">
        <f>IF(ISERROR(Ruimtestaat!F19),0,IF(Ruimtestaat!F19&gt;0,1,0))</f>
        <v>0</v>
      </c>
      <c r="AZ19" s="65">
        <f>IF(ISERROR(Ruimtestaat!G19),0,IF(Ruimtestaat!G19&gt;0,1,0))</f>
        <v>1</v>
      </c>
      <c r="BA19" s="65">
        <f>IF(ISERROR(Ruimtestaat!H19),0,IF(Ruimtestaat!H19&gt;0,1,0))</f>
        <v>1</v>
      </c>
      <c r="BB19" s="65">
        <v>1</v>
      </c>
      <c r="BC19" s="65">
        <f t="shared" si="9"/>
        <v>3</v>
      </c>
      <c r="BG19" s="65">
        <f>IF(AW19=0,0,Ruimtestaat!D19*Ruimtestaat!$C19)</f>
        <v>717.6</v>
      </c>
      <c r="BH19" s="65">
        <f>IF(AX19=0,0,Ruimtestaat!E19*Ruimtestaat!$C19)</f>
        <v>0</v>
      </c>
      <c r="BI19" s="65">
        <f>IF(AY19=0,0,Ruimtestaat!F19*Ruimtestaat!$C19)</f>
        <v>0</v>
      </c>
      <c r="BJ19" s="65">
        <f>IF(AZ19=0,0,Ruimtestaat!G19*Ruimtestaat!$C19)</f>
        <v>33.800000000000004</v>
      </c>
      <c r="BK19" s="65">
        <f>IF(BA19=0,0,Ruimtestaat!H19*Ruimtestaat!$C19)</f>
        <v>109.2</v>
      </c>
      <c r="BM19" s="65">
        <f t="shared" si="10"/>
        <v>860.6</v>
      </c>
      <c r="BQ19" s="65">
        <f t="shared" si="11"/>
        <v>0</v>
      </c>
      <c r="BR19" s="65">
        <f t="shared" si="12"/>
        <v>0</v>
      </c>
      <c r="BS19" s="65">
        <f t="shared" si="13"/>
        <v>0</v>
      </c>
      <c r="BT19" s="65">
        <f t="shared" si="14"/>
        <v>0</v>
      </c>
      <c r="BU19" s="65">
        <f t="shared" si="15"/>
        <v>0</v>
      </c>
      <c r="BV19" s="65">
        <f t="shared" si="16"/>
        <v>0</v>
      </c>
      <c r="BW19" s="65">
        <f t="shared" si="17"/>
        <v>0</v>
      </c>
    </row>
    <row r="20" spans="2:75" x14ac:dyDescent="0.15">
      <c r="B20" s="137" t="s">
        <v>103</v>
      </c>
      <c r="C20" s="123">
        <v>26</v>
      </c>
      <c r="D20" s="141" t="str">
        <f t="shared" si="0"/>
        <v>in m2/uur</v>
      </c>
      <c r="E20" s="141" t="str">
        <f t="shared" si="1"/>
        <v/>
      </c>
      <c r="F20" s="141" t="str">
        <f t="shared" si="2"/>
        <v>in m2/uur</v>
      </c>
      <c r="G20" s="141" t="str">
        <f t="shared" si="3"/>
        <v>in m2/uur</v>
      </c>
      <c r="H20" s="141" t="str">
        <f t="shared" si="4"/>
        <v>in m2/uur</v>
      </c>
      <c r="I20" s="142" t="str">
        <f t="shared" si="5"/>
        <v>in uren/dag</v>
      </c>
      <c r="J20" s="146" t="str">
        <f t="shared" si="6"/>
        <v>Alles invullen</v>
      </c>
      <c r="AS20" s="110" t="s">
        <v>103</v>
      </c>
      <c r="AT20" s="63">
        <f t="shared" si="7"/>
        <v>1</v>
      </c>
      <c r="AV20" s="63">
        <f t="shared" si="8"/>
        <v>0</v>
      </c>
      <c r="AW20" s="65">
        <f>IF(ISERROR(Ruimtestaat!D20),0,IF(Ruimtestaat!D20&gt;0,1,0))</f>
        <v>1</v>
      </c>
      <c r="AX20" s="65">
        <f>IF(ISERROR(Ruimtestaat!E20),0,IF(Ruimtestaat!E20&gt;0,1,0))</f>
        <v>0</v>
      </c>
      <c r="AY20" s="65">
        <f>IF(ISERROR(Ruimtestaat!F20),0,IF(Ruimtestaat!F20&gt;0,1,0))</f>
        <v>1</v>
      </c>
      <c r="AZ20" s="65">
        <f>IF(ISERROR(Ruimtestaat!G20),0,IF(Ruimtestaat!G20&gt;0,1,0))</f>
        <v>1</v>
      </c>
      <c r="BA20" s="65">
        <f>IF(ISERROR(Ruimtestaat!H20),0,IF(Ruimtestaat!H20&gt;0,1,0))</f>
        <v>1</v>
      </c>
      <c r="BB20" s="65">
        <v>1</v>
      </c>
      <c r="BC20" s="65">
        <f t="shared" si="9"/>
        <v>4</v>
      </c>
      <c r="BG20" s="65">
        <f>IF(AW20=0,0,Ruimtestaat!D20*Ruimtestaat!$C20)</f>
        <v>366.59999999999997</v>
      </c>
      <c r="BH20" s="65">
        <f>IF(AX20=0,0,Ruimtestaat!E20*Ruimtestaat!$C20)</f>
        <v>0</v>
      </c>
      <c r="BI20" s="65">
        <f>IF(AY20=0,0,Ruimtestaat!F20*Ruimtestaat!$C20)</f>
        <v>764.4</v>
      </c>
      <c r="BJ20" s="65">
        <f>IF(AZ20=0,0,Ruimtestaat!G20*Ruimtestaat!$C20)</f>
        <v>78</v>
      </c>
      <c r="BK20" s="65">
        <f>IF(BA20=0,0,Ruimtestaat!H20*Ruimtestaat!$C20)</f>
        <v>410.8</v>
      </c>
      <c r="BM20" s="65">
        <f t="shared" si="10"/>
        <v>1619.8</v>
      </c>
      <c r="BQ20" s="65">
        <f t="shared" si="11"/>
        <v>0</v>
      </c>
      <c r="BR20" s="65">
        <f t="shared" si="12"/>
        <v>0</v>
      </c>
      <c r="BS20" s="65">
        <f t="shared" si="13"/>
        <v>0</v>
      </c>
      <c r="BT20" s="65">
        <f t="shared" si="14"/>
        <v>0</v>
      </c>
      <c r="BU20" s="65">
        <f t="shared" si="15"/>
        <v>0</v>
      </c>
      <c r="BV20" s="65">
        <f t="shared" si="16"/>
        <v>0</v>
      </c>
      <c r="BW20" s="65">
        <f t="shared" si="17"/>
        <v>0</v>
      </c>
    </row>
    <row r="21" spans="2:75" ht="13.5" thickBot="1" x14ac:dyDescent="0.2">
      <c r="B21" s="138" t="s">
        <v>121</v>
      </c>
      <c r="C21" s="124">
        <v>104</v>
      </c>
      <c r="D21" s="143" t="str">
        <f t="shared" si="0"/>
        <v>in m2/uur</v>
      </c>
      <c r="E21" s="143" t="str">
        <f t="shared" si="1"/>
        <v/>
      </c>
      <c r="F21" s="143" t="str">
        <f t="shared" si="2"/>
        <v>in m2/uur</v>
      </c>
      <c r="G21" s="143" t="str">
        <f t="shared" si="3"/>
        <v>in m2/uur</v>
      </c>
      <c r="H21" s="143" t="str">
        <f t="shared" si="4"/>
        <v>in m2/uur</v>
      </c>
      <c r="I21" s="144" t="str">
        <f t="shared" si="5"/>
        <v>in uren/dag</v>
      </c>
      <c r="J21" s="147" t="str">
        <f t="shared" si="6"/>
        <v>Alles invullen</v>
      </c>
      <c r="AS21" s="110" t="s">
        <v>121</v>
      </c>
      <c r="AT21" s="63">
        <f t="shared" si="7"/>
        <v>1</v>
      </c>
      <c r="AV21" s="63">
        <f t="shared" si="8"/>
        <v>0</v>
      </c>
      <c r="AW21" s="65">
        <f>IF(ISERROR(Ruimtestaat!D21),0,IF(Ruimtestaat!D21&gt;0,1,0))</f>
        <v>1</v>
      </c>
      <c r="AX21" s="65">
        <f>IF(ISERROR(Ruimtestaat!E21),0,IF(Ruimtestaat!E21&gt;0,1,0))</f>
        <v>0</v>
      </c>
      <c r="AY21" s="65">
        <f>IF(ISERROR(Ruimtestaat!F21),0,IF(Ruimtestaat!F21&gt;0,1,0))</f>
        <v>1</v>
      </c>
      <c r="AZ21" s="65">
        <f>IF(ISERROR(Ruimtestaat!G21),0,IF(Ruimtestaat!G21&gt;0,1,0))</f>
        <v>1</v>
      </c>
      <c r="BA21" s="65">
        <f>IF(ISERROR(Ruimtestaat!H21),0,IF(Ruimtestaat!H21&gt;0,1,0))</f>
        <v>1</v>
      </c>
      <c r="BB21" s="65">
        <v>1</v>
      </c>
      <c r="BC21" s="65">
        <f t="shared" si="9"/>
        <v>4</v>
      </c>
      <c r="BG21" s="65">
        <f>IF(AW21=0,0,Ruimtestaat!D21*Ruimtestaat!$C21)</f>
        <v>4420</v>
      </c>
      <c r="BH21" s="65">
        <f>IF(AX21=0,0,Ruimtestaat!E21*Ruimtestaat!$C21)</f>
        <v>0</v>
      </c>
      <c r="BI21" s="65">
        <f>IF(AY21=0,0,Ruimtestaat!F21*Ruimtestaat!$C21)</f>
        <v>2121.6</v>
      </c>
      <c r="BJ21" s="65">
        <f>IF(AZ21=0,0,Ruimtestaat!G21*Ruimtestaat!$C21)</f>
        <v>707.19999999999993</v>
      </c>
      <c r="BK21" s="65">
        <f>IF(BA21=0,0,Ruimtestaat!H21*Ruimtestaat!$C21)</f>
        <v>1196</v>
      </c>
      <c r="BM21" s="65">
        <f t="shared" si="10"/>
        <v>8444.7999999999993</v>
      </c>
      <c r="BQ21" s="65">
        <f t="shared" si="11"/>
        <v>0</v>
      </c>
      <c r="BR21" s="65">
        <f t="shared" si="12"/>
        <v>0</v>
      </c>
      <c r="BS21" s="65">
        <f t="shared" si="13"/>
        <v>0</v>
      </c>
      <c r="BT21" s="65">
        <f t="shared" si="14"/>
        <v>0</v>
      </c>
      <c r="BU21" s="65">
        <f t="shared" si="15"/>
        <v>0</v>
      </c>
      <c r="BV21" s="65">
        <f t="shared" si="16"/>
        <v>0</v>
      </c>
      <c r="BW21" s="65">
        <f t="shared" si="17"/>
        <v>0</v>
      </c>
    </row>
    <row r="22" spans="2:75" ht="13.5" thickBot="1" x14ac:dyDescent="0.2">
      <c r="B22" s="152" t="s">
        <v>278</v>
      </c>
      <c r="C22" s="151"/>
      <c r="D22" s="149"/>
      <c r="E22" s="149"/>
      <c r="F22" s="149"/>
      <c r="G22" s="149"/>
      <c r="H22" s="149"/>
      <c r="I22" s="150"/>
      <c r="J22" s="148" t="str">
        <f t="shared" si="6"/>
        <v>Alles invullen</v>
      </c>
      <c r="AS22" s="62"/>
      <c r="AV22" s="63">
        <f>SUM(AV$6:AV21)</f>
        <v>0</v>
      </c>
      <c r="BC22" s="65">
        <f>SUM(BC$6:BC21)</f>
        <v>55</v>
      </c>
      <c r="BM22" s="65">
        <f>SUM(BM$6:BM21)</f>
        <v>97321.8</v>
      </c>
      <c r="BW22" s="65">
        <f>SUM(BW$6:BW21)</f>
        <v>0</v>
      </c>
    </row>
    <row r="23" spans="2:75" ht="6.95" customHeight="1" x14ac:dyDescent="0.15">
      <c r="B23" s="59"/>
      <c r="C23" s="60"/>
      <c r="AS23" s="62"/>
    </row>
    <row r="24" spans="2:75" hidden="1" x14ac:dyDescent="0.15">
      <c r="B24" s="59"/>
      <c r="C24" s="60"/>
      <c r="AS24" s="62"/>
    </row>
    <row r="25" spans="2:75" hidden="1" x14ac:dyDescent="0.15">
      <c r="B25" s="59"/>
      <c r="C25" s="60"/>
      <c r="AS25" s="62"/>
    </row>
    <row r="26" spans="2:75" hidden="1" x14ac:dyDescent="0.15">
      <c r="B26" s="59"/>
      <c r="C26" s="60"/>
      <c r="AS26" s="62"/>
    </row>
    <row r="27" spans="2:75" hidden="1" x14ac:dyDescent="0.15">
      <c r="B27" s="59"/>
      <c r="C27" s="60"/>
      <c r="AS27" s="62"/>
    </row>
    <row r="28" spans="2:75" hidden="1" x14ac:dyDescent="0.15">
      <c r="B28" s="59"/>
      <c r="C28" s="60"/>
      <c r="AS28" s="62"/>
    </row>
    <row r="29" spans="2:75" hidden="1" x14ac:dyDescent="0.15">
      <c r="B29" s="59"/>
      <c r="C29" s="60"/>
      <c r="AS29" s="62"/>
    </row>
    <row r="30" spans="2:75" hidden="1" x14ac:dyDescent="0.15">
      <c r="B30" s="59"/>
      <c r="C30" s="60"/>
      <c r="AS30" s="62"/>
    </row>
    <row r="31" spans="2:75" hidden="1" x14ac:dyDescent="0.15">
      <c r="B31" s="59"/>
      <c r="C31" s="60"/>
      <c r="AS31" s="62"/>
    </row>
    <row r="32" spans="2:75" hidden="1" x14ac:dyDescent="0.15">
      <c r="B32" s="59"/>
      <c r="C32" s="60"/>
      <c r="AS32" s="62"/>
    </row>
    <row r="33" spans="2:45" hidden="1" x14ac:dyDescent="0.15">
      <c r="B33" s="59"/>
      <c r="C33" s="60"/>
      <c r="AS33" s="62"/>
    </row>
    <row r="34" spans="2:45" hidden="1" x14ac:dyDescent="0.15">
      <c r="B34" s="59"/>
      <c r="C34" s="60"/>
      <c r="AS34" s="62"/>
    </row>
    <row r="35" spans="2:45" hidden="1" x14ac:dyDescent="0.15">
      <c r="B35" s="59"/>
      <c r="C35" s="60"/>
      <c r="AS35" s="62"/>
    </row>
    <row r="36" spans="2:45" hidden="1" x14ac:dyDescent="0.15">
      <c r="B36" s="59"/>
      <c r="C36" s="60"/>
      <c r="AS36" s="62"/>
    </row>
    <row r="37" spans="2:45" hidden="1" x14ac:dyDescent="0.15">
      <c r="B37" s="59"/>
      <c r="C37" s="60"/>
      <c r="AS37" s="62"/>
    </row>
    <row r="38" spans="2:45" hidden="1" x14ac:dyDescent="0.15">
      <c r="B38" s="59"/>
      <c r="C38" s="60"/>
      <c r="AS38" s="62"/>
    </row>
    <row r="39" spans="2:45" hidden="1" x14ac:dyDescent="0.15">
      <c r="B39" s="59"/>
      <c r="C39" s="60"/>
      <c r="AS39" s="62"/>
    </row>
    <row r="40" spans="2:45" hidden="1" x14ac:dyDescent="0.15">
      <c r="B40" s="59"/>
      <c r="C40" s="60"/>
      <c r="AS40" s="62"/>
    </row>
    <row r="41" spans="2:45" hidden="1" x14ac:dyDescent="0.15">
      <c r="B41" s="59"/>
      <c r="C41" s="60"/>
      <c r="AS41" s="62"/>
    </row>
    <row r="42" spans="2:45" hidden="1" x14ac:dyDescent="0.15">
      <c r="B42" s="59"/>
      <c r="C42" s="60"/>
      <c r="AS42" s="62"/>
    </row>
    <row r="43" spans="2:45" hidden="1" x14ac:dyDescent="0.15">
      <c r="B43" s="59"/>
      <c r="C43" s="60"/>
      <c r="AS43" s="62"/>
    </row>
    <row r="44" spans="2:45" hidden="1" x14ac:dyDescent="0.15">
      <c r="B44" s="59"/>
      <c r="C44" s="60"/>
      <c r="AS44" s="62"/>
    </row>
    <row r="45" spans="2:45" hidden="1" x14ac:dyDescent="0.15">
      <c r="B45" s="59"/>
      <c r="C45" s="60"/>
      <c r="AS45" s="62"/>
    </row>
    <row r="46" spans="2:45" hidden="1" x14ac:dyDescent="0.15">
      <c r="B46" s="59"/>
      <c r="C46" s="60"/>
      <c r="AS46" s="62"/>
    </row>
    <row r="47" spans="2:45" hidden="1" x14ac:dyDescent="0.15">
      <c r="B47" s="59"/>
      <c r="C47" s="60"/>
      <c r="AS47" s="62"/>
    </row>
    <row r="48" spans="2:45" hidden="1" x14ac:dyDescent="0.15">
      <c r="B48" s="59"/>
      <c r="C48" s="60"/>
      <c r="AS48" s="62"/>
    </row>
    <row r="49" spans="2:45" hidden="1" x14ac:dyDescent="0.15">
      <c r="B49" s="59"/>
      <c r="C49" s="60"/>
      <c r="AS49" s="62"/>
    </row>
    <row r="50" spans="2:45" hidden="1" x14ac:dyDescent="0.15">
      <c r="B50" s="59"/>
      <c r="C50" s="60"/>
      <c r="AS50" s="62"/>
    </row>
    <row r="51" spans="2:45" hidden="1" x14ac:dyDescent="0.15">
      <c r="B51" s="59"/>
      <c r="C51" s="60"/>
      <c r="AS51" s="62"/>
    </row>
    <row r="52" spans="2:45" hidden="1" x14ac:dyDescent="0.15">
      <c r="B52" s="59"/>
      <c r="C52" s="60"/>
      <c r="AS52" s="62"/>
    </row>
    <row r="53" spans="2:45" hidden="1" x14ac:dyDescent="0.15">
      <c r="B53" s="59"/>
      <c r="C53" s="60"/>
      <c r="AS53" s="62"/>
    </row>
    <row r="54" spans="2:45" hidden="1" x14ac:dyDescent="0.15">
      <c r="B54" s="59"/>
      <c r="C54" s="60"/>
      <c r="AS54" s="62"/>
    </row>
    <row r="55" spans="2:45" hidden="1" x14ac:dyDescent="0.15">
      <c r="B55" s="59"/>
      <c r="C55" s="60"/>
      <c r="AS55" s="62"/>
    </row>
    <row r="56" spans="2:45" hidden="1" x14ac:dyDescent="0.15">
      <c r="B56" s="59"/>
      <c r="C56" s="60"/>
      <c r="AS56" s="62"/>
    </row>
    <row r="57" spans="2:45" hidden="1" x14ac:dyDescent="0.15">
      <c r="B57" s="59"/>
      <c r="C57" s="60"/>
      <c r="AS57" s="62"/>
    </row>
    <row r="58" spans="2:45" hidden="1" x14ac:dyDescent="0.15">
      <c r="B58" s="59"/>
      <c r="C58" s="60"/>
      <c r="AS58" s="62"/>
    </row>
    <row r="59" spans="2:45" hidden="1" x14ac:dyDescent="0.15">
      <c r="B59" s="59"/>
      <c r="C59" s="60"/>
      <c r="AS59" s="62"/>
    </row>
    <row r="60" spans="2:45" hidden="1" x14ac:dyDescent="0.15">
      <c r="B60" s="59"/>
      <c r="C60" s="60"/>
      <c r="AS60" s="62"/>
    </row>
    <row r="62" spans="2:45" hidden="1" x14ac:dyDescent="0.15">
      <c r="B62" s="59"/>
      <c r="C62" s="60"/>
      <c r="AS62" s="62"/>
    </row>
    <row r="63" spans="2:45" hidden="1" x14ac:dyDescent="0.15">
      <c r="B63" s="59"/>
      <c r="C63" s="60"/>
      <c r="AS63" s="62"/>
    </row>
    <row r="64" spans="2:45" hidden="1" x14ac:dyDescent="0.15">
      <c r="B64" s="59"/>
      <c r="C64" s="60"/>
      <c r="AS64" s="62"/>
    </row>
    <row r="65" spans="2:45" hidden="1" x14ac:dyDescent="0.15">
      <c r="B65" s="59"/>
      <c r="C65" s="60"/>
      <c r="AS65" s="62"/>
    </row>
    <row r="66" spans="2:45" hidden="1" x14ac:dyDescent="0.15">
      <c r="B66" s="59"/>
      <c r="C66" s="60"/>
      <c r="AS66" s="62"/>
    </row>
  </sheetData>
  <sheetProtection algorithmName="SHA-512" hashValue="01ZnCOKnuhXds38eENh0yECv+n7QL9nj6Adr8SZcoQuvSqG9oKlExVJNg30/pF6cOpqqenr6DlXm14iyL0he0A==" saltValue="UKejdjtAqyxiVB1caRs/oQ==" spinCount="100000" sheet="1" objects="1" scenarios="1"/>
  <mergeCells count="6">
    <mergeCell ref="B5:J5"/>
    <mergeCell ref="BQ2:BW2"/>
    <mergeCell ref="B2:J2"/>
    <mergeCell ref="B3:J3"/>
    <mergeCell ref="AW2:BC2"/>
    <mergeCell ref="BG2:BM2"/>
  </mergeCells>
  <conditionalFormatting sqref="D6:I1048576">
    <cfRule type="expression" priority="13" stopIfTrue="1">
      <formula>AW6=""</formula>
    </cfRule>
    <cfRule type="expression" dxfId="11" priority="14" stopIfTrue="1">
      <formula>AW6&lt;1</formula>
    </cfRule>
    <cfRule type="containsText" dxfId="10" priority="15" operator="containsText" text="ur">
      <formula>NOT(ISERROR(SEARCH("ur",D6)))</formula>
    </cfRule>
    <cfRule type="containsText" dxfId="9" priority="16" operator="containsText" text="norm">
      <formula>NOT(ISERROR(SEARCH("norm",D6)))</formula>
    </cfRule>
    <cfRule type="containsText" dxfId="8" priority="17" operator="containsText" text="in">
      <formula>NOT(ISERROR(SEARCH("in",D6)))</formula>
    </cfRule>
    <cfRule type="cellIs" priority="18" operator="greaterThan">
      <formula>0</formula>
    </cfRule>
  </conditionalFormatting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&amp;C&amp;F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AA48"/>
  <sheetViews>
    <sheetView showGridLines="0" showRowColHeaders="0" showZeros="0" zoomScale="85" workbookViewId="0">
      <selection activeCell="B34" sqref="B34"/>
    </sheetView>
  </sheetViews>
  <sheetFormatPr defaultColWidth="0" defaultRowHeight="12.75" customHeight="1" zeroHeight="1" x14ac:dyDescent="0.2"/>
  <cols>
    <col min="1" max="1" width="1.7109375" style="4" customWidth="1"/>
    <col min="2" max="2" width="70.42578125" style="4" bestFit="1" customWidth="1"/>
    <col min="3" max="3" width="16" style="33" customWidth="1"/>
    <col min="4" max="4" width="10.85546875" style="2" bestFit="1" customWidth="1"/>
    <col min="5" max="5" width="11.28515625" style="4" bestFit="1" customWidth="1"/>
    <col min="6" max="6" width="8" style="3" customWidth="1"/>
    <col min="7" max="7" width="1.7109375" style="4" customWidth="1"/>
    <col min="8" max="11" width="12.7109375" style="4" hidden="1" customWidth="1"/>
    <col min="12" max="12" width="13.28515625" style="4" hidden="1" customWidth="1"/>
    <col min="13" max="27" width="12.7109375" style="4" hidden="1" customWidth="1"/>
    <col min="28" max="16384" width="19.85546875" style="4" hidden="1"/>
  </cols>
  <sheetData>
    <row r="1" spans="2:10" ht="6.95" customHeight="1" x14ac:dyDescent="0.2"/>
    <row r="2" spans="2:10" ht="34.5" customHeight="1" x14ac:dyDescent="0.2">
      <c r="B2" s="178" t="str">
        <f>CONCATENATE("Offerte uurtarief - ",UPPER(Inventarisatiestaat!A2))</f>
        <v>Offerte uurtarief - PROVINCIE ZEELAND</v>
      </c>
      <c r="C2" s="179"/>
      <c r="D2" s="179"/>
      <c r="E2" s="179"/>
      <c r="F2" s="180"/>
    </row>
    <row r="3" spans="2:10" s="74" customFormat="1" ht="15" customHeight="1" x14ac:dyDescent="0.2">
      <c r="B3" s="75"/>
      <c r="C3" s="5"/>
      <c r="D3" s="6" t="s">
        <v>20</v>
      </c>
      <c r="E3" s="76" t="s">
        <v>21</v>
      </c>
      <c r="F3" s="7"/>
      <c r="I3" s="8"/>
      <c r="J3" s="77"/>
    </row>
    <row r="4" spans="2:10" s="74" customFormat="1" ht="15" customHeight="1" x14ac:dyDescent="0.2">
      <c r="B4" s="75" t="s">
        <v>22</v>
      </c>
      <c r="C4" s="9"/>
      <c r="D4" s="10"/>
      <c r="E4" s="78"/>
      <c r="F4" s="11"/>
      <c r="I4" s="79"/>
      <c r="J4" s="12">
        <f>COUNTBLANK(E4)</f>
        <v>1</v>
      </c>
    </row>
    <row r="5" spans="2:10" s="74" customFormat="1" ht="15" customHeight="1" x14ac:dyDescent="0.2">
      <c r="B5" s="13" t="s">
        <v>23</v>
      </c>
      <c r="C5" s="14"/>
      <c r="D5" s="15"/>
      <c r="E5" s="80"/>
      <c r="F5" s="16"/>
      <c r="I5" s="81"/>
      <c r="J5" s="77"/>
    </row>
    <row r="6" spans="2:10" s="74" customFormat="1" ht="15" customHeight="1" x14ac:dyDescent="0.2">
      <c r="B6" s="37"/>
      <c r="C6" s="17"/>
      <c r="D6" s="15"/>
      <c r="E6" s="80"/>
      <c r="F6" s="16"/>
      <c r="I6" s="81"/>
      <c r="J6" s="77"/>
    </row>
    <row r="7" spans="2:10" s="74" customFormat="1" ht="15" customHeight="1" x14ac:dyDescent="0.2">
      <c r="B7" s="37" t="s">
        <v>24</v>
      </c>
      <c r="C7" s="18"/>
      <c r="D7" s="44"/>
      <c r="E7" s="80">
        <f>E4*D7</f>
        <v>0</v>
      </c>
      <c r="F7" s="16" t="e">
        <f>E7/E4</f>
        <v>#DIV/0!</v>
      </c>
      <c r="I7" s="19">
        <f>COUNTBLANK(D7)</f>
        <v>1</v>
      </c>
      <c r="J7" s="77"/>
    </row>
    <row r="8" spans="2:10" s="74" customFormat="1" ht="15" customHeight="1" x14ac:dyDescent="0.2">
      <c r="B8" s="37" t="s">
        <v>25</v>
      </c>
      <c r="C8" s="18"/>
      <c r="D8" s="44"/>
      <c r="E8" s="80">
        <f>E4*D8</f>
        <v>0</v>
      </c>
      <c r="F8" s="16" t="e">
        <f>E8/E4</f>
        <v>#DIV/0!</v>
      </c>
      <c r="I8" s="19">
        <f>COUNTBLANK(D8)</f>
        <v>1</v>
      </c>
      <c r="J8" s="77"/>
    </row>
    <row r="9" spans="2:10" s="74" customFormat="1" x14ac:dyDescent="0.2">
      <c r="B9" s="20" t="s">
        <v>26</v>
      </c>
      <c r="C9" s="21"/>
      <c r="D9" s="22"/>
      <c r="E9" s="82">
        <f>SUM(E4:E8)</f>
        <v>0</v>
      </c>
      <c r="F9" s="23"/>
      <c r="I9" s="81"/>
      <c r="J9" s="77"/>
    </row>
    <row r="10" spans="2:10" s="74" customFormat="1" ht="15" customHeight="1" x14ac:dyDescent="0.2">
      <c r="B10" s="37"/>
      <c r="C10" s="17"/>
      <c r="D10" s="22"/>
      <c r="E10" s="80"/>
      <c r="F10" s="16"/>
      <c r="I10" s="81"/>
      <c r="J10" s="77"/>
    </row>
    <row r="11" spans="2:10" s="74" customFormat="1" ht="15" customHeight="1" x14ac:dyDescent="0.2">
      <c r="B11" s="24" t="s">
        <v>27</v>
      </c>
      <c r="C11" s="18"/>
      <c r="D11" s="22"/>
      <c r="E11" s="78"/>
      <c r="F11" s="16"/>
      <c r="I11" s="81"/>
      <c r="J11" s="12">
        <f>COUNTBLANK(E11)</f>
        <v>1</v>
      </c>
    </row>
    <row r="12" spans="2:10" s="74" customFormat="1" ht="15" customHeight="1" x14ac:dyDescent="0.2">
      <c r="B12" s="37" t="s">
        <v>28</v>
      </c>
      <c r="C12" s="18"/>
      <c r="D12" s="44"/>
      <c r="E12" s="80">
        <f>D12*E11</f>
        <v>0</v>
      </c>
      <c r="F12" s="16" t="e">
        <f>E12/E11</f>
        <v>#DIV/0!</v>
      </c>
      <c r="I12" s="19">
        <f>COUNTBLANK(D12)</f>
        <v>1</v>
      </c>
      <c r="J12" s="77"/>
    </row>
    <row r="13" spans="2:10" s="74" customFormat="1" ht="15" customHeight="1" x14ac:dyDescent="0.2">
      <c r="B13" s="20" t="s">
        <v>29</v>
      </c>
      <c r="C13" s="21"/>
      <c r="D13" s="22"/>
      <c r="E13" s="82">
        <f>SUM(E9,E12)</f>
        <v>0</v>
      </c>
      <c r="F13" s="23"/>
      <c r="I13" s="81"/>
      <c r="J13" s="77"/>
    </row>
    <row r="14" spans="2:10" s="74" customFormat="1" ht="15" customHeight="1" x14ac:dyDescent="0.2">
      <c r="B14" s="37"/>
      <c r="C14" s="21"/>
      <c r="D14" s="22"/>
      <c r="E14" s="80"/>
      <c r="F14" s="16"/>
      <c r="I14" s="81"/>
      <c r="J14" s="77"/>
    </row>
    <row r="15" spans="2:10" s="74" customFormat="1" ht="15" customHeight="1" x14ac:dyDescent="0.2">
      <c r="B15" s="37" t="s">
        <v>30</v>
      </c>
      <c r="C15" s="83"/>
      <c r="D15" s="45"/>
      <c r="E15" s="80">
        <f>E13*D15</f>
        <v>0</v>
      </c>
      <c r="F15" s="16" t="e">
        <f>E15/E13</f>
        <v>#DIV/0!</v>
      </c>
      <c r="I15" s="19">
        <f>COUNTBLANK(D15)</f>
        <v>1</v>
      </c>
      <c r="J15" s="77"/>
    </row>
    <row r="16" spans="2:10" s="74" customFormat="1" x14ac:dyDescent="0.2">
      <c r="B16" s="20" t="s">
        <v>31</v>
      </c>
      <c r="C16" s="21"/>
      <c r="D16" s="15"/>
      <c r="E16" s="80">
        <f>E13+E15</f>
        <v>0</v>
      </c>
      <c r="F16" s="23"/>
      <c r="I16" s="81"/>
      <c r="J16" s="77"/>
    </row>
    <row r="17" spans="2:10" s="74" customFormat="1" x14ac:dyDescent="0.2">
      <c r="B17" s="37"/>
      <c r="C17" s="21"/>
      <c r="D17" s="15"/>
      <c r="E17" s="80"/>
      <c r="F17" s="16"/>
      <c r="I17" s="81"/>
      <c r="J17" s="77"/>
    </row>
    <row r="18" spans="2:10" s="74" customFormat="1" ht="15" x14ac:dyDescent="0.2">
      <c r="B18" s="37" t="s">
        <v>32</v>
      </c>
      <c r="C18" s="25"/>
      <c r="D18" s="46"/>
      <c r="E18" s="78" t="str">
        <f>IF(D18="","",D18*$E$16)</f>
        <v/>
      </c>
      <c r="F18" s="16" t="e">
        <f>E18/$E$16</f>
        <v>#VALUE!</v>
      </c>
      <c r="I18" s="12">
        <f t="shared" ref="I18:J22" si="0">COUNTBLANK(D18)</f>
        <v>1</v>
      </c>
      <c r="J18" s="12">
        <f t="shared" si="0"/>
        <v>1</v>
      </c>
    </row>
    <row r="19" spans="2:10" s="74" customFormat="1" ht="15" x14ac:dyDescent="0.2">
      <c r="B19" s="37" t="s">
        <v>33</v>
      </c>
      <c r="C19" s="25"/>
      <c r="D19" s="46"/>
      <c r="E19" s="78" t="str">
        <f>IF(D19="","",D19*$E$16)</f>
        <v/>
      </c>
      <c r="F19" s="16" t="e">
        <f>E19/$E$16</f>
        <v>#VALUE!</v>
      </c>
      <c r="I19" s="12">
        <f t="shared" si="0"/>
        <v>1</v>
      </c>
      <c r="J19" s="12">
        <f t="shared" si="0"/>
        <v>1</v>
      </c>
    </row>
    <row r="20" spans="2:10" s="74" customFormat="1" ht="15" x14ac:dyDescent="0.2">
      <c r="B20" s="37" t="s">
        <v>34</v>
      </c>
      <c r="C20" s="21"/>
      <c r="D20" s="46"/>
      <c r="E20" s="78" t="str">
        <f>IF(D20="","",D20*$E$16)</f>
        <v/>
      </c>
      <c r="F20" s="16" t="e">
        <f>E20/$E$16</f>
        <v>#VALUE!</v>
      </c>
      <c r="I20" s="12">
        <f t="shared" si="0"/>
        <v>1</v>
      </c>
      <c r="J20" s="12">
        <f t="shared" si="0"/>
        <v>1</v>
      </c>
    </row>
    <row r="21" spans="2:10" s="74" customFormat="1" ht="15" x14ac:dyDescent="0.2">
      <c r="B21" s="37" t="s">
        <v>35</v>
      </c>
      <c r="C21" s="21"/>
      <c r="D21" s="46"/>
      <c r="E21" s="78" t="str">
        <f>IF(D21="","",D21*$E$16)</f>
        <v/>
      </c>
      <c r="F21" s="16" t="e">
        <f>E21/$E$16</f>
        <v>#VALUE!</v>
      </c>
      <c r="I21" s="12">
        <f t="shared" si="0"/>
        <v>1</v>
      </c>
      <c r="J21" s="12">
        <f t="shared" si="0"/>
        <v>1</v>
      </c>
    </row>
    <row r="22" spans="2:10" s="74" customFormat="1" ht="15" x14ac:dyDescent="0.2">
      <c r="B22" s="84" t="s">
        <v>36</v>
      </c>
      <c r="C22" s="21"/>
      <c r="D22" s="46"/>
      <c r="E22" s="78" t="str">
        <f>IF(D22="","",D22*$E$16)</f>
        <v/>
      </c>
      <c r="F22" s="16" t="e">
        <f>E22/$E$16</f>
        <v>#VALUE!</v>
      </c>
      <c r="H22" s="74">
        <f>IF(B22="Eventueel zelf invullen",1,0)</f>
        <v>1</v>
      </c>
      <c r="I22" s="12">
        <f t="shared" si="0"/>
        <v>1</v>
      </c>
      <c r="J22" s="12">
        <f t="shared" si="0"/>
        <v>1</v>
      </c>
    </row>
    <row r="23" spans="2:10" s="74" customFormat="1" ht="15" x14ac:dyDescent="0.2">
      <c r="B23" s="26"/>
      <c r="C23" s="21"/>
      <c r="D23" s="15" t="s">
        <v>19</v>
      </c>
      <c r="E23" s="85"/>
      <c r="F23" s="16"/>
      <c r="I23" s="81"/>
      <c r="J23" s="12"/>
    </row>
    <row r="24" spans="2:10" s="74" customFormat="1" x14ac:dyDescent="0.2">
      <c r="B24" s="20" t="s">
        <v>37</v>
      </c>
      <c r="C24" s="21"/>
      <c r="D24" s="15"/>
      <c r="E24" s="82">
        <f>SUM(E18:E22)+E16</f>
        <v>0</v>
      </c>
      <c r="F24" s="23"/>
      <c r="I24" s="81"/>
      <c r="J24" s="77"/>
    </row>
    <row r="25" spans="2:10" s="74" customFormat="1" x14ac:dyDescent="0.2">
      <c r="B25" s="37"/>
      <c r="C25" s="21"/>
      <c r="D25" s="15"/>
      <c r="E25" s="80"/>
      <c r="F25" s="16"/>
      <c r="I25" s="81"/>
      <c r="J25" s="77"/>
    </row>
    <row r="26" spans="2:10" s="74" customFormat="1" ht="15" x14ac:dyDescent="0.2">
      <c r="B26" s="37" t="s">
        <v>38</v>
      </c>
      <c r="C26" s="21"/>
      <c r="D26" s="46"/>
      <c r="E26" s="78" t="str">
        <f>IF(D26="","",D26*$E$24)</f>
        <v/>
      </c>
      <c r="F26" s="23" t="e">
        <f>E26/$E$24</f>
        <v>#VALUE!</v>
      </c>
      <c r="I26" s="12">
        <f>COUNTBLANK(D26)</f>
        <v>1</v>
      </c>
      <c r="J26" s="12">
        <f>COUNTBLANK(E26)</f>
        <v>1</v>
      </c>
    </row>
    <row r="27" spans="2:10" s="74" customFormat="1" ht="15" x14ac:dyDescent="0.2">
      <c r="B27" s="37" t="s">
        <v>39</v>
      </c>
      <c r="C27" s="21"/>
      <c r="D27" s="46"/>
      <c r="E27" s="78" t="str">
        <f t="shared" ref="E27:E33" si="1">IF(D27="","",D27*$E$24)</f>
        <v/>
      </c>
      <c r="F27" s="23" t="e">
        <f t="shared" ref="F27:F33" si="2">E27/$E$24</f>
        <v>#VALUE!</v>
      </c>
      <c r="I27" s="12">
        <f t="shared" ref="I27:J33" si="3">COUNTBLANK(D27)</f>
        <v>1</v>
      </c>
      <c r="J27" s="12">
        <f t="shared" si="3"/>
        <v>1</v>
      </c>
    </row>
    <row r="28" spans="2:10" s="74" customFormat="1" ht="15" x14ac:dyDescent="0.2">
      <c r="B28" s="37" t="s">
        <v>40</v>
      </c>
      <c r="C28" s="21"/>
      <c r="D28" s="46"/>
      <c r="E28" s="78" t="str">
        <f t="shared" si="1"/>
        <v/>
      </c>
      <c r="F28" s="23" t="e">
        <f t="shared" si="2"/>
        <v>#VALUE!</v>
      </c>
      <c r="I28" s="12">
        <f t="shared" si="3"/>
        <v>1</v>
      </c>
      <c r="J28" s="12">
        <f t="shared" si="3"/>
        <v>1</v>
      </c>
    </row>
    <row r="29" spans="2:10" s="74" customFormat="1" ht="15" x14ac:dyDescent="0.2">
      <c r="B29" s="37" t="s">
        <v>41</v>
      </c>
      <c r="C29" s="21"/>
      <c r="D29" s="46"/>
      <c r="E29" s="78" t="str">
        <f t="shared" si="1"/>
        <v/>
      </c>
      <c r="F29" s="23" t="e">
        <f t="shared" si="2"/>
        <v>#VALUE!</v>
      </c>
      <c r="I29" s="12">
        <f t="shared" si="3"/>
        <v>1</v>
      </c>
      <c r="J29" s="12">
        <f t="shared" si="3"/>
        <v>1</v>
      </c>
    </row>
    <row r="30" spans="2:10" s="74" customFormat="1" ht="15" x14ac:dyDescent="0.2">
      <c r="B30" s="37" t="s">
        <v>42</v>
      </c>
      <c r="C30" s="21"/>
      <c r="D30" s="46"/>
      <c r="E30" s="78" t="str">
        <f t="shared" si="1"/>
        <v/>
      </c>
      <c r="F30" s="23" t="e">
        <f t="shared" si="2"/>
        <v>#VALUE!</v>
      </c>
      <c r="I30" s="12">
        <f t="shared" si="3"/>
        <v>1</v>
      </c>
      <c r="J30" s="12">
        <f t="shared" si="3"/>
        <v>1</v>
      </c>
    </row>
    <row r="31" spans="2:10" s="74" customFormat="1" ht="15" x14ac:dyDescent="0.2">
      <c r="B31" s="37" t="s">
        <v>43</v>
      </c>
      <c r="C31" s="21"/>
      <c r="D31" s="46"/>
      <c r="E31" s="78" t="str">
        <f t="shared" si="1"/>
        <v/>
      </c>
      <c r="F31" s="23" t="e">
        <f t="shared" si="2"/>
        <v>#VALUE!</v>
      </c>
      <c r="I31" s="12">
        <f t="shared" si="3"/>
        <v>1</v>
      </c>
      <c r="J31" s="12">
        <f t="shared" si="3"/>
        <v>1</v>
      </c>
    </row>
    <row r="32" spans="2:10" s="74" customFormat="1" ht="15" x14ac:dyDescent="0.2">
      <c r="B32" s="37" t="s">
        <v>44</v>
      </c>
      <c r="C32" s="21"/>
      <c r="D32" s="46"/>
      <c r="E32" s="78" t="str">
        <f t="shared" si="1"/>
        <v/>
      </c>
      <c r="F32" s="23" t="e">
        <f t="shared" si="2"/>
        <v>#VALUE!</v>
      </c>
      <c r="I32" s="12">
        <f t="shared" si="3"/>
        <v>1</v>
      </c>
      <c r="J32" s="12">
        <f t="shared" si="3"/>
        <v>1</v>
      </c>
    </row>
    <row r="33" spans="2:10" s="74" customFormat="1" ht="15" x14ac:dyDescent="0.2">
      <c r="B33" s="84" t="s">
        <v>36</v>
      </c>
      <c r="C33" s="21"/>
      <c r="D33" s="46"/>
      <c r="E33" s="78" t="str">
        <f t="shared" si="1"/>
        <v/>
      </c>
      <c r="F33" s="23" t="e">
        <f t="shared" si="2"/>
        <v>#VALUE!</v>
      </c>
      <c r="H33" s="74">
        <f>IF(B33="Eventueel zelf invullen",1,0)</f>
        <v>1</v>
      </c>
      <c r="I33" s="12">
        <f t="shared" si="3"/>
        <v>1</v>
      </c>
      <c r="J33" s="12">
        <f>COUNTBLANK(E33)</f>
        <v>1</v>
      </c>
    </row>
    <row r="34" spans="2:10" s="74" customFormat="1" ht="15" x14ac:dyDescent="0.2">
      <c r="B34" s="26"/>
      <c r="C34" s="21"/>
      <c r="D34" s="28"/>
      <c r="E34" s="85"/>
      <c r="F34" s="16"/>
      <c r="I34" s="90"/>
      <c r="J34" s="12"/>
    </row>
    <row r="35" spans="2:10" s="74" customFormat="1" x14ac:dyDescent="0.2">
      <c r="B35" s="20" t="s">
        <v>45</v>
      </c>
      <c r="C35" s="21"/>
      <c r="D35" s="15"/>
      <c r="E35" s="82">
        <f>IF(ISERROR(IF(#REF!&gt;#REF!,SUM(E26:E32,#REF!,E33:E33),SUM(E26:E33))),SUM(E26:E33),IF(#REF!&gt;#REF!,SUM(E26:E32,#REF!,E33:E33),SUM(E26:E33)))</f>
        <v>0</v>
      </c>
      <c r="F35" s="23"/>
      <c r="I35" s="81"/>
      <c r="J35" s="77"/>
    </row>
    <row r="36" spans="2:10" s="74" customFormat="1" x14ac:dyDescent="0.2">
      <c r="B36" s="37"/>
      <c r="C36" s="21"/>
      <c r="D36" s="15"/>
      <c r="E36" s="80"/>
      <c r="F36" s="29"/>
      <c r="I36" s="81"/>
      <c r="J36" s="77"/>
    </row>
    <row r="37" spans="2:10" s="74" customFormat="1" ht="15" x14ac:dyDescent="0.2">
      <c r="B37" s="37" t="s">
        <v>46</v>
      </c>
      <c r="C37" s="21"/>
      <c r="D37" s="46"/>
      <c r="E37" s="78" t="str">
        <f>IF(D37="","",D37*(E24+E35))</f>
        <v/>
      </c>
      <c r="F37" s="16" t="e">
        <f>E37/E35</f>
        <v>#VALUE!</v>
      </c>
      <c r="I37" s="12">
        <f>COUNTBLANK(D37)</f>
        <v>1</v>
      </c>
      <c r="J37" s="12">
        <f>COUNTBLANK(E37)</f>
        <v>1</v>
      </c>
    </row>
    <row r="38" spans="2:10" s="74" customFormat="1" x14ac:dyDescent="0.2">
      <c r="B38" s="37"/>
      <c r="C38" s="14"/>
      <c r="D38" s="15"/>
      <c r="E38" s="80"/>
      <c r="F38" s="16"/>
      <c r="I38" s="81"/>
      <c r="J38" s="77"/>
    </row>
    <row r="39" spans="2:10" s="74" customFormat="1" x14ac:dyDescent="0.2">
      <c r="B39" s="20" t="s">
        <v>47</v>
      </c>
      <c r="C39" s="30"/>
      <c r="D39" s="31"/>
      <c r="E39" s="82">
        <f>SUM(E24,E35,E37)</f>
        <v>0</v>
      </c>
      <c r="F39" s="32"/>
      <c r="I39" s="81"/>
      <c r="J39" s="91"/>
    </row>
    <row r="40" spans="2:10" ht="12.75" customHeight="1" x14ac:dyDescent="0.2"/>
    <row r="41" spans="2:10" ht="12.75" customHeight="1" x14ac:dyDescent="0.2"/>
    <row r="42" spans="2:10" ht="12.75" customHeight="1" x14ac:dyDescent="0.2"/>
    <row r="43" spans="2:10" ht="12.75" customHeight="1" x14ac:dyDescent="0.2"/>
    <row r="44" spans="2:10" ht="12.75" customHeight="1" x14ac:dyDescent="0.2"/>
    <row r="45" spans="2:10" ht="12.75" customHeight="1" x14ac:dyDescent="0.2"/>
    <row r="46" spans="2:10" ht="12.75" customHeight="1" x14ac:dyDescent="0.2"/>
    <row r="47" spans="2:10" ht="12.75" customHeight="1" x14ac:dyDescent="0.2"/>
    <row r="48" spans="2:10" ht="12.75" customHeight="1" x14ac:dyDescent="0.2"/>
  </sheetData>
  <sheetProtection algorithmName="SHA-512" hashValue="loS3ZN+EhEs9CP4Velvs2oNL6SiyAQfxeM8QCW+QRb/YCQBzN1l4EdU436uaYQEo3+6EgH3XtaxmKKNVxCTgTA==" saltValue="kqkvBpW2EFB4Ip2THMfZcQ==" spinCount="100000" sheet="1" objects="1" scenarios="1"/>
  <mergeCells count="1">
    <mergeCell ref="B2:F2"/>
  </mergeCells>
  <conditionalFormatting sqref="E4 E11 D12 D15 D37:E37 D18:E22 D7:D8 D26:E33">
    <cfRule type="expression" dxfId="7" priority="1" stopIfTrue="1">
      <formula>I4=1</formula>
    </cfRule>
  </conditionalFormatting>
  <conditionalFormatting sqref="B22 B33">
    <cfRule type="expression" dxfId="6" priority="2" stopIfTrue="1">
      <formula>H22=1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>
    <oddHeader>&amp;C&amp;F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>
    <pageSetUpPr fitToPage="1"/>
  </sheetPr>
  <dimension ref="A1:AA49"/>
  <sheetViews>
    <sheetView showGridLines="0" showRowColHeaders="0" showZeros="0" topLeftCell="A22" zoomScale="85" workbookViewId="0">
      <selection activeCell="E35" sqref="E35"/>
    </sheetView>
  </sheetViews>
  <sheetFormatPr defaultColWidth="0" defaultRowHeight="12.75" customHeight="1" zeroHeight="1" x14ac:dyDescent="0.2"/>
  <cols>
    <col min="1" max="1" width="1.7109375" style="4" customWidth="1"/>
    <col min="2" max="2" width="70.42578125" style="4" bestFit="1" customWidth="1"/>
    <col min="3" max="3" width="16" style="33" customWidth="1"/>
    <col min="4" max="4" width="10.85546875" style="2" bestFit="1" customWidth="1"/>
    <col min="5" max="5" width="11.28515625" style="4" bestFit="1" customWidth="1"/>
    <col min="6" max="6" width="8" style="3" customWidth="1"/>
    <col min="7" max="7" width="1.7109375" style="4" customWidth="1"/>
    <col min="8" max="11" width="12.7109375" style="4" hidden="1" customWidth="1"/>
    <col min="12" max="12" width="13.28515625" style="4" hidden="1" customWidth="1"/>
    <col min="13" max="27" width="12.7109375" style="4" hidden="1" customWidth="1"/>
    <col min="28" max="16384" width="19.85546875" style="4" hidden="1"/>
  </cols>
  <sheetData>
    <row r="1" spans="2:10" ht="6.95" customHeight="1" x14ac:dyDescent="0.2"/>
    <row r="2" spans="2:10" ht="34.5" customHeight="1" x14ac:dyDescent="0.2">
      <c r="B2" s="178" t="str">
        <f>CONCATENATE("Offerte uurtarief OLGA's - ",UPPER(Inventarisatiestaat!A2))</f>
        <v>Offerte uurtarief OLGA's - PROVINCIE ZEELAND</v>
      </c>
      <c r="C2" s="179"/>
      <c r="D2" s="179"/>
      <c r="E2" s="179"/>
      <c r="F2" s="180"/>
    </row>
    <row r="3" spans="2:10" s="74" customFormat="1" ht="15" customHeight="1" x14ac:dyDescent="0.2">
      <c r="B3" s="75"/>
      <c r="C3" s="5"/>
      <c r="D3" s="6" t="s">
        <v>20</v>
      </c>
      <c r="E3" s="76" t="s">
        <v>21</v>
      </c>
      <c r="F3" s="7"/>
      <c r="I3" s="8"/>
      <c r="J3" s="77"/>
    </row>
    <row r="4" spans="2:10" s="74" customFormat="1" ht="15" customHeight="1" x14ac:dyDescent="0.2">
      <c r="B4" s="75" t="s">
        <v>22</v>
      </c>
      <c r="C4" s="9"/>
      <c r="D4" s="10"/>
      <c r="E4" s="78"/>
      <c r="F4" s="11"/>
      <c r="I4" s="79"/>
      <c r="J4" s="12">
        <f>COUNTBLANK(E4)</f>
        <v>1</v>
      </c>
    </row>
    <row r="5" spans="2:10" s="74" customFormat="1" ht="15" customHeight="1" x14ac:dyDescent="0.2">
      <c r="B5" s="13" t="s">
        <v>23</v>
      </c>
      <c r="C5" s="14"/>
      <c r="D5" s="15"/>
      <c r="E5" s="80"/>
      <c r="F5" s="16"/>
      <c r="I5" s="81"/>
      <c r="J5" s="77"/>
    </row>
    <row r="6" spans="2:10" s="74" customFormat="1" ht="15" customHeight="1" x14ac:dyDescent="0.2">
      <c r="B6" s="37"/>
      <c r="C6" s="17"/>
      <c r="D6" s="15"/>
      <c r="E6" s="80"/>
      <c r="F6" s="16"/>
      <c r="I6" s="81"/>
      <c r="J6" s="77"/>
    </row>
    <row r="7" spans="2:10" s="74" customFormat="1" ht="15" customHeight="1" x14ac:dyDescent="0.2">
      <c r="B7" s="37" t="s">
        <v>24</v>
      </c>
      <c r="C7" s="18"/>
      <c r="D7" s="44"/>
      <c r="E7" s="80">
        <f>E4*D7</f>
        <v>0</v>
      </c>
      <c r="F7" s="16" t="e">
        <f>E7/E4</f>
        <v>#DIV/0!</v>
      </c>
      <c r="I7" s="19">
        <f>COUNTBLANK(D7)</f>
        <v>1</v>
      </c>
      <c r="J7" s="77"/>
    </row>
    <row r="8" spans="2:10" s="74" customFormat="1" ht="15" customHeight="1" x14ac:dyDescent="0.2">
      <c r="B8" s="37" t="s">
        <v>25</v>
      </c>
      <c r="C8" s="18"/>
      <c r="D8" s="44"/>
      <c r="E8" s="80">
        <f>E4*D8</f>
        <v>0</v>
      </c>
      <c r="F8" s="16" t="e">
        <f>E8/E4</f>
        <v>#DIV/0!</v>
      </c>
      <c r="I8" s="19">
        <f>COUNTBLANK(D8)</f>
        <v>1</v>
      </c>
      <c r="J8" s="77"/>
    </row>
    <row r="9" spans="2:10" s="74" customFormat="1" x14ac:dyDescent="0.2">
      <c r="B9" s="20" t="s">
        <v>26</v>
      </c>
      <c r="C9" s="21"/>
      <c r="D9" s="22"/>
      <c r="E9" s="82">
        <f>SUM(E4:E8)</f>
        <v>0</v>
      </c>
      <c r="F9" s="23"/>
      <c r="I9" s="81"/>
      <c r="J9" s="77"/>
    </row>
    <row r="10" spans="2:10" s="74" customFormat="1" ht="15" customHeight="1" x14ac:dyDescent="0.2">
      <c r="B10" s="37"/>
      <c r="C10" s="17"/>
      <c r="D10" s="22"/>
      <c r="E10" s="80"/>
      <c r="F10" s="16"/>
      <c r="I10" s="81"/>
      <c r="J10" s="77"/>
    </row>
    <row r="11" spans="2:10" s="74" customFormat="1" ht="15" customHeight="1" x14ac:dyDescent="0.2">
      <c r="B11" s="24" t="s">
        <v>27</v>
      </c>
      <c r="C11" s="18"/>
      <c r="D11" s="22"/>
      <c r="E11" s="78"/>
      <c r="F11" s="16"/>
      <c r="I11" s="81"/>
      <c r="J11" s="12">
        <f>COUNTBLANK(E11)</f>
        <v>1</v>
      </c>
    </row>
    <row r="12" spans="2:10" s="74" customFormat="1" ht="15" customHeight="1" x14ac:dyDescent="0.2">
      <c r="B12" s="37" t="s">
        <v>28</v>
      </c>
      <c r="C12" s="18"/>
      <c r="D12" s="44"/>
      <c r="E12" s="80">
        <f>D12*E11</f>
        <v>0</v>
      </c>
      <c r="F12" s="16" t="e">
        <f>E12/E11</f>
        <v>#DIV/0!</v>
      </c>
      <c r="I12" s="19">
        <f>COUNTBLANK(D12)</f>
        <v>1</v>
      </c>
      <c r="J12" s="77"/>
    </row>
    <row r="13" spans="2:10" s="74" customFormat="1" ht="15" customHeight="1" x14ac:dyDescent="0.2">
      <c r="B13" s="20" t="s">
        <v>29</v>
      </c>
      <c r="C13" s="21"/>
      <c r="D13" s="22"/>
      <c r="E13" s="82">
        <f>SUM(E9,E12)</f>
        <v>0</v>
      </c>
      <c r="F13" s="23"/>
      <c r="I13" s="81"/>
      <c r="J13" s="77"/>
    </row>
    <row r="14" spans="2:10" s="74" customFormat="1" ht="15" customHeight="1" x14ac:dyDescent="0.2">
      <c r="B14" s="37"/>
      <c r="C14" s="21"/>
      <c r="D14" s="22"/>
      <c r="E14" s="80"/>
      <c r="F14" s="16"/>
      <c r="I14" s="81"/>
      <c r="J14" s="77"/>
    </row>
    <row r="15" spans="2:10" s="74" customFormat="1" ht="15" customHeight="1" x14ac:dyDescent="0.2">
      <c r="B15" s="37" t="s">
        <v>30</v>
      </c>
      <c r="C15" s="83"/>
      <c r="D15" s="45"/>
      <c r="E15" s="80">
        <f>E13*D15</f>
        <v>0</v>
      </c>
      <c r="F15" s="16" t="e">
        <f>E15/E13</f>
        <v>#DIV/0!</v>
      </c>
      <c r="I15" s="19">
        <f>COUNTBLANK(D15)</f>
        <v>1</v>
      </c>
      <c r="J15" s="77"/>
    </row>
    <row r="16" spans="2:10" s="74" customFormat="1" x14ac:dyDescent="0.2">
      <c r="B16" s="20" t="s">
        <v>31</v>
      </c>
      <c r="C16" s="21"/>
      <c r="D16" s="15"/>
      <c r="E16" s="80">
        <f>E13+E15</f>
        <v>0</v>
      </c>
      <c r="F16" s="23"/>
      <c r="I16" s="81"/>
      <c r="J16" s="77"/>
    </row>
    <row r="17" spans="2:10" s="74" customFormat="1" x14ac:dyDescent="0.2">
      <c r="B17" s="37"/>
      <c r="C17" s="21"/>
      <c r="D17" s="15"/>
      <c r="E17" s="80"/>
      <c r="F17" s="16"/>
      <c r="I17" s="81"/>
      <c r="J17" s="77"/>
    </row>
    <row r="18" spans="2:10" s="74" customFormat="1" ht="15" x14ac:dyDescent="0.2">
      <c r="B18" s="37" t="s">
        <v>32</v>
      </c>
      <c r="C18" s="25"/>
      <c r="D18" s="46"/>
      <c r="E18" s="78" t="str">
        <f t="shared" ref="E18:E23" si="0">IF(D18="","",D18*$E$16)</f>
        <v/>
      </c>
      <c r="F18" s="16" t="e">
        <f>E18/$E$16</f>
        <v>#VALUE!</v>
      </c>
      <c r="I18" s="12">
        <f t="shared" ref="I18:J23" si="1">COUNTBLANK(D18)</f>
        <v>1</v>
      </c>
      <c r="J18" s="12">
        <f t="shared" si="1"/>
        <v>1</v>
      </c>
    </row>
    <row r="19" spans="2:10" s="74" customFormat="1" ht="15" x14ac:dyDescent="0.2">
      <c r="B19" s="37" t="s">
        <v>33</v>
      </c>
      <c r="C19" s="25"/>
      <c r="D19" s="46"/>
      <c r="E19" s="78" t="str">
        <f t="shared" si="0"/>
        <v/>
      </c>
      <c r="F19" s="16" t="e">
        <f>E19/$E$16</f>
        <v>#VALUE!</v>
      </c>
      <c r="I19" s="12">
        <f t="shared" si="1"/>
        <v>1</v>
      </c>
      <c r="J19" s="12">
        <f t="shared" si="1"/>
        <v>1</v>
      </c>
    </row>
    <row r="20" spans="2:10" s="74" customFormat="1" ht="15" x14ac:dyDescent="0.2">
      <c r="B20" s="37" t="s">
        <v>34</v>
      </c>
      <c r="C20" s="21"/>
      <c r="D20" s="46"/>
      <c r="E20" s="78" t="str">
        <f t="shared" si="0"/>
        <v/>
      </c>
      <c r="F20" s="16" t="e">
        <f>E20/$E$16</f>
        <v>#VALUE!</v>
      </c>
      <c r="I20" s="12">
        <f t="shared" si="1"/>
        <v>1</v>
      </c>
      <c r="J20" s="12">
        <f t="shared" si="1"/>
        <v>1</v>
      </c>
    </row>
    <row r="21" spans="2:10" s="74" customFormat="1" ht="15" x14ac:dyDescent="0.2">
      <c r="B21" s="37" t="s">
        <v>35</v>
      </c>
      <c r="C21" s="21"/>
      <c r="D21" s="46"/>
      <c r="E21" s="78" t="str">
        <f t="shared" si="0"/>
        <v/>
      </c>
      <c r="F21" s="16" t="e">
        <f>E21/$E$16</f>
        <v>#VALUE!</v>
      </c>
      <c r="I21" s="12">
        <f t="shared" si="1"/>
        <v>1</v>
      </c>
      <c r="J21" s="12">
        <f t="shared" si="1"/>
        <v>1</v>
      </c>
    </row>
    <row r="22" spans="2:10" s="74" customFormat="1" ht="15" x14ac:dyDescent="0.2">
      <c r="B22" s="37" t="s">
        <v>63</v>
      </c>
      <c r="C22" s="21"/>
      <c r="D22" s="46"/>
      <c r="E22" s="78" t="str">
        <f t="shared" si="0"/>
        <v/>
      </c>
      <c r="F22" s="16"/>
      <c r="I22" s="12">
        <f>COUNTBLANK(D22)</f>
        <v>1</v>
      </c>
      <c r="J22" s="12">
        <f>COUNTBLANK(E22)</f>
        <v>1</v>
      </c>
    </row>
    <row r="23" spans="2:10" s="74" customFormat="1" ht="15" x14ac:dyDescent="0.2">
      <c r="B23" s="84" t="s">
        <v>36</v>
      </c>
      <c r="C23" s="21"/>
      <c r="D23" s="46"/>
      <c r="E23" s="78" t="str">
        <f t="shared" si="0"/>
        <v/>
      </c>
      <c r="F23" s="16" t="e">
        <f>E23/$E$16</f>
        <v>#VALUE!</v>
      </c>
      <c r="H23" s="74">
        <f>IF(B23="Eventueel zelf invullen",1,0)</f>
        <v>1</v>
      </c>
      <c r="I23" s="12">
        <f t="shared" si="1"/>
        <v>1</v>
      </c>
      <c r="J23" s="12">
        <f t="shared" si="1"/>
        <v>1</v>
      </c>
    </row>
    <row r="24" spans="2:10" s="74" customFormat="1" ht="15" x14ac:dyDescent="0.2">
      <c r="B24" s="26"/>
      <c r="C24" s="21"/>
      <c r="D24" s="15" t="s">
        <v>19</v>
      </c>
      <c r="E24" s="85"/>
      <c r="F24" s="16"/>
      <c r="I24" s="81"/>
      <c r="J24" s="12"/>
    </row>
    <row r="25" spans="2:10" s="74" customFormat="1" x14ac:dyDescent="0.2">
      <c r="B25" s="20" t="s">
        <v>37</v>
      </c>
      <c r="C25" s="21"/>
      <c r="D25" s="15"/>
      <c r="E25" s="82">
        <f>SUM(E18:E23)+E16</f>
        <v>0</v>
      </c>
      <c r="F25" s="23"/>
      <c r="I25" s="81"/>
      <c r="J25" s="77"/>
    </row>
    <row r="26" spans="2:10" s="74" customFormat="1" x14ac:dyDescent="0.2">
      <c r="B26" s="37"/>
      <c r="C26" s="21"/>
      <c r="D26" s="15"/>
      <c r="E26" s="80"/>
      <c r="F26" s="16"/>
      <c r="I26" s="81"/>
      <c r="J26" s="77"/>
    </row>
    <row r="27" spans="2:10" s="74" customFormat="1" ht="15" x14ac:dyDescent="0.2">
      <c r="B27" s="37" t="s">
        <v>38</v>
      </c>
      <c r="C27" s="21"/>
      <c r="D27" s="46"/>
      <c r="E27" s="78" t="str">
        <f>IF(D27="","",D27*$E$25)</f>
        <v/>
      </c>
      <c r="F27" s="23" t="e">
        <f>E27/$E$25</f>
        <v>#VALUE!</v>
      </c>
      <c r="I27" s="12">
        <f>COUNTBLANK(D27)</f>
        <v>1</v>
      </c>
      <c r="J27" s="12">
        <f>COUNTBLANK(E27)</f>
        <v>1</v>
      </c>
    </row>
    <row r="28" spans="2:10" s="74" customFormat="1" ht="15" x14ac:dyDescent="0.2">
      <c r="B28" s="37" t="s">
        <v>39</v>
      </c>
      <c r="C28" s="21"/>
      <c r="D28" s="46"/>
      <c r="E28" s="78" t="str">
        <f t="shared" ref="E28:E36" si="2">IF(D28="","",D28*$E$25)</f>
        <v/>
      </c>
      <c r="F28" s="23" t="e">
        <f t="shared" ref="F28:F36" si="3">E28/$E$25</f>
        <v>#VALUE!</v>
      </c>
      <c r="I28" s="12">
        <f t="shared" ref="I28:J36" si="4">COUNTBLANK(D28)</f>
        <v>1</v>
      </c>
      <c r="J28" s="12">
        <f t="shared" si="4"/>
        <v>1</v>
      </c>
    </row>
    <row r="29" spans="2:10" s="74" customFormat="1" ht="15" x14ac:dyDescent="0.2">
      <c r="B29" s="37" t="s">
        <v>40</v>
      </c>
      <c r="C29" s="21"/>
      <c r="D29" s="46"/>
      <c r="E29" s="78" t="str">
        <f t="shared" si="2"/>
        <v/>
      </c>
      <c r="F29" s="23" t="e">
        <f t="shared" si="3"/>
        <v>#VALUE!</v>
      </c>
      <c r="I29" s="12">
        <f t="shared" si="4"/>
        <v>1</v>
      </c>
      <c r="J29" s="12">
        <f t="shared" si="4"/>
        <v>1</v>
      </c>
    </row>
    <row r="30" spans="2:10" s="74" customFormat="1" ht="15" x14ac:dyDescent="0.2">
      <c r="B30" s="37" t="s">
        <v>41</v>
      </c>
      <c r="C30" s="21"/>
      <c r="D30" s="46"/>
      <c r="E30" s="78" t="str">
        <f t="shared" si="2"/>
        <v/>
      </c>
      <c r="F30" s="23" t="e">
        <f t="shared" si="3"/>
        <v>#VALUE!</v>
      </c>
      <c r="I30" s="12">
        <f t="shared" si="4"/>
        <v>1</v>
      </c>
      <c r="J30" s="12">
        <f t="shared" si="4"/>
        <v>1</v>
      </c>
    </row>
    <row r="31" spans="2:10" s="74" customFormat="1" ht="15" x14ac:dyDescent="0.2">
      <c r="B31" s="37" t="s">
        <v>42</v>
      </c>
      <c r="C31" s="21"/>
      <c r="D31" s="46"/>
      <c r="E31" s="78" t="str">
        <f t="shared" si="2"/>
        <v/>
      </c>
      <c r="F31" s="23" t="e">
        <f t="shared" si="3"/>
        <v>#VALUE!</v>
      </c>
      <c r="I31" s="12">
        <f t="shared" si="4"/>
        <v>1</v>
      </c>
      <c r="J31" s="12">
        <f t="shared" si="4"/>
        <v>1</v>
      </c>
    </row>
    <row r="32" spans="2:10" s="74" customFormat="1" ht="15" x14ac:dyDescent="0.2">
      <c r="B32" s="37" t="s">
        <v>43</v>
      </c>
      <c r="C32" s="21"/>
      <c r="D32" s="46"/>
      <c r="E32" s="78" t="str">
        <f t="shared" si="2"/>
        <v/>
      </c>
      <c r="F32" s="23" t="e">
        <f t="shared" si="3"/>
        <v>#VALUE!</v>
      </c>
      <c r="I32" s="12">
        <f t="shared" si="4"/>
        <v>1</v>
      </c>
      <c r="J32" s="12">
        <f t="shared" si="4"/>
        <v>1</v>
      </c>
    </row>
    <row r="33" spans="2:13" s="74" customFormat="1" ht="15" x14ac:dyDescent="0.2">
      <c r="B33" s="37" t="s">
        <v>44</v>
      </c>
      <c r="C33" s="21"/>
      <c r="D33" s="46"/>
      <c r="E33" s="78" t="str">
        <f t="shared" si="2"/>
        <v/>
      </c>
      <c r="F33" s="23" t="e">
        <f t="shared" si="3"/>
        <v>#VALUE!</v>
      </c>
      <c r="I33" s="12">
        <f t="shared" si="4"/>
        <v>1</v>
      </c>
      <c r="J33" s="12">
        <f t="shared" si="4"/>
        <v>1</v>
      </c>
    </row>
    <row r="34" spans="2:13" s="74" customFormat="1" ht="15" x14ac:dyDescent="0.2">
      <c r="B34" s="37" t="s">
        <v>93</v>
      </c>
      <c r="C34" s="86" t="str">
        <f>IF(K34&gt;ROUNDUP(L34,2),"Overschrijdt max.kosten","")</f>
        <v/>
      </c>
      <c r="D34" s="45"/>
      <c r="E34" s="78" t="str">
        <f>IF(D34="","",D34*$E$25)</f>
        <v/>
      </c>
      <c r="F34" s="23" t="e">
        <f>E34/$E$26</f>
        <v>#VALUE!</v>
      </c>
      <c r="I34" s="19">
        <f t="shared" si="4"/>
        <v>1</v>
      </c>
      <c r="J34" s="12">
        <f t="shared" si="4"/>
        <v>1</v>
      </c>
      <c r="K34" s="87">
        <f>IF(E34="",0,E34)</f>
        <v>0</v>
      </c>
      <c r="L34" s="88">
        <f>IF(tUrenOlga=0,0,M34/tUrenOlga)</f>
        <v>0</v>
      </c>
      <c r="M34" s="89" t="e">
        <f>qcolga</f>
        <v>#REF!</v>
      </c>
    </row>
    <row r="35" spans="2:13" s="74" customFormat="1" ht="15" x14ac:dyDescent="0.2">
      <c r="B35" s="37" t="s">
        <v>66</v>
      </c>
      <c r="C35" s="27" t="str">
        <f>IF(K35&gt;L35,"Overschrijdt max. kosten","")</f>
        <v/>
      </c>
      <c r="D35" s="46"/>
      <c r="E35" s="78" t="str">
        <f>IF(D35="","",D35*$E$25)</f>
        <v/>
      </c>
      <c r="F35" s="23" t="e">
        <f>E35/$E$25</f>
        <v>#VALUE!</v>
      </c>
      <c r="I35" s="12">
        <f t="shared" si="4"/>
        <v>1</v>
      </c>
      <c r="J35" s="12">
        <f t="shared" si="4"/>
        <v>1</v>
      </c>
      <c r="K35" s="87">
        <f>IF(E35="",0,E35)</f>
        <v>0</v>
      </c>
      <c r="L35" s="88">
        <f>5%*E42</f>
        <v>0</v>
      </c>
    </row>
    <row r="36" spans="2:13" s="74" customFormat="1" ht="15" x14ac:dyDescent="0.2">
      <c r="B36" s="84" t="s">
        <v>36</v>
      </c>
      <c r="C36" s="21"/>
      <c r="D36" s="46"/>
      <c r="E36" s="78" t="str">
        <f t="shared" si="2"/>
        <v/>
      </c>
      <c r="F36" s="23" t="e">
        <f t="shared" si="3"/>
        <v>#VALUE!</v>
      </c>
      <c r="H36" s="74">
        <f>IF(B36="Eventueel zelf invullen",1,0)</f>
        <v>1</v>
      </c>
      <c r="I36" s="12">
        <f t="shared" si="4"/>
        <v>1</v>
      </c>
      <c r="J36" s="12">
        <f>COUNTBLANK(E36)</f>
        <v>1</v>
      </c>
    </row>
    <row r="37" spans="2:13" s="74" customFormat="1" ht="15" x14ac:dyDescent="0.2">
      <c r="B37" s="26"/>
      <c r="C37" s="21"/>
      <c r="D37" s="28"/>
      <c r="E37" s="85"/>
      <c r="F37" s="16"/>
      <c r="I37" s="90"/>
      <c r="J37" s="12"/>
    </row>
    <row r="38" spans="2:13" s="74" customFormat="1" x14ac:dyDescent="0.2">
      <c r="B38" s="20" t="s">
        <v>45</v>
      </c>
      <c r="C38" s="21"/>
      <c r="D38" s="15"/>
      <c r="E38" s="82">
        <f>IF(ISERROR(IF(K34&gt;L34,SUM(E27:E33,L34,E35:E36),SUM(E27:E36))),SUM(E27:E36),IF(K34&gt;L34,SUM(E27:E33,L34,E35:E36),SUM(E27:E36)))</f>
        <v>0</v>
      </c>
      <c r="F38" s="23"/>
      <c r="I38" s="81"/>
      <c r="J38" s="77"/>
    </row>
    <row r="39" spans="2:13" s="74" customFormat="1" x14ac:dyDescent="0.2">
      <c r="B39" s="37"/>
      <c r="C39" s="21"/>
      <c r="D39" s="15"/>
      <c r="E39" s="80"/>
      <c r="F39" s="29"/>
      <c r="I39" s="81"/>
      <c r="J39" s="77"/>
    </row>
    <row r="40" spans="2:13" s="74" customFormat="1" ht="15" x14ac:dyDescent="0.2">
      <c r="B40" s="37" t="s">
        <v>46</v>
      </c>
      <c r="C40" s="21"/>
      <c r="D40" s="46"/>
      <c r="E40" s="78" t="str">
        <f>IF(D40="","",D40*(E25+E38))</f>
        <v/>
      </c>
      <c r="F40" s="16" t="e">
        <f>E40/E38</f>
        <v>#VALUE!</v>
      </c>
      <c r="I40" s="12">
        <f>COUNTBLANK(D40)</f>
        <v>1</v>
      </c>
      <c r="J40" s="12">
        <f>COUNTBLANK(E40)</f>
        <v>1</v>
      </c>
    </row>
    <row r="41" spans="2:13" s="74" customFormat="1" x14ac:dyDescent="0.2">
      <c r="B41" s="37"/>
      <c r="C41" s="14"/>
      <c r="D41" s="15"/>
      <c r="E41" s="80"/>
      <c r="F41" s="16"/>
      <c r="I41" s="81"/>
      <c r="J41" s="77"/>
    </row>
    <row r="42" spans="2:13" s="74" customFormat="1" x14ac:dyDescent="0.2">
      <c r="B42" s="20" t="s">
        <v>47</v>
      </c>
      <c r="C42" s="30"/>
      <c r="D42" s="31"/>
      <c r="E42" s="82">
        <f>SUM(E25,E38,E40)</f>
        <v>0</v>
      </c>
      <c r="F42" s="32"/>
      <c r="I42" s="81"/>
      <c r="J42" s="91"/>
    </row>
    <row r="43" spans="2:13" hidden="1" x14ac:dyDescent="0.2"/>
    <row r="44" spans="2:13" hidden="1" x14ac:dyDescent="0.2"/>
    <row r="45" spans="2:13" hidden="1" x14ac:dyDescent="0.2"/>
    <row r="46" spans="2:13" hidden="1" x14ac:dyDescent="0.2"/>
    <row r="47" spans="2:13" hidden="1" x14ac:dyDescent="0.2"/>
    <row r="48" spans="2:13" hidden="1" x14ac:dyDescent="0.2"/>
    <row r="49" ht="12.75" customHeight="1" x14ac:dyDescent="0.2"/>
  </sheetData>
  <mergeCells count="1">
    <mergeCell ref="B2:F2"/>
  </mergeCells>
  <conditionalFormatting sqref="E4 E11 D12 D15 D40:E40 D7:D8 D27:E33 D36:E36 D34:D35 D18:E23">
    <cfRule type="expression" dxfId="5" priority="1" stopIfTrue="1">
      <formula>I4=1</formula>
    </cfRule>
  </conditionalFormatting>
  <conditionalFormatting sqref="B23 B36">
    <cfRule type="expression" dxfId="4" priority="2" stopIfTrue="1">
      <formula>H23=1</formula>
    </cfRule>
  </conditionalFormatting>
  <conditionalFormatting sqref="E34">
    <cfRule type="expression" dxfId="3" priority="3" stopIfTrue="1">
      <formula>J34=1</formula>
    </cfRule>
    <cfRule type="expression" dxfId="2" priority="4" stopIfTrue="1">
      <formula>K34&gt;ROUNDUP(L34,2)</formula>
    </cfRule>
  </conditionalFormatting>
  <conditionalFormatting sqref="E35">
    <cfRule type="expression" dxfId="1" priority="5" stopIfTrue="1">
      <formula>J35=1</formula>
    </cfRule>
    <cfRule type="cellIs" dxfId="0" priority="6" stopIfTrue="1" operator="greaterThan">
      <formula>L35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>
    <oddHeader>&amp;C&amp;F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BI23"/>
  <sheetViews>
    <sheetView showGridLines="0" showRowColHeaders="0" showZeros="0" tabSelected="1" zoomScale="85" workbookViewId="0">
      <selection activeCell="B2" sqref="B2:R2"/>
    </sheetView>
  </sheetViews>
  <sheetFormatPr defaultColWidth="0" defaultRowHeight="12.75" zeroHeight="1" x14ac:dyDescent="0.2"/>
  <cols>
    <col min="1" max="1" width="2.28515625" style="4" customWidth="1"/>
    <col min="2" max="2" width="35" style="4" customWidth="1"/>
    <col min="3" max="3" width="8.42578125" style="33" customWidth="1"/>
    <col min="4" max="9" width="14.7109375" style="34" customWidth="1"/>
    <col min="10" max="10" width="16.7109375" style="34" customWidth="1"/>
    <col min="11" max="11" width="2.28515625" style="4" customWidth="1"/>
    <col min="12" max="44" width="9.140625" style="4" hidden="1" customWidth="1"/>
    <col min="45" max="45" width="17.85546875" style="4" hidden="1" customWidth="1"/>
    <col min="46" max="16384" width="9.140625" style="4" hidden="1"/>
  </cols>
  <sheetData>
    <row r="1" spans="2:61" s="1" customFormat="1" ht="6.95" customHeight="1" thickBot="1" x14ac:dyDescent="0.25">
      <c r="C1" s="38"/>
    </row>
    <row r="2" spans="2:61" s="1" customFormat="1" ht="13.5" thickBot="1" x14ac:dyDescent="0.25">
      <c r="B2" s="167" t="str">
        <f>UPPER(CONCATENATE("Kostenblad ",Inventarisatiestaat!A2))</f>
        <v>KOSTENBLAD PROVINCIE ZEELAND</v>
      </c>
      <c r="C2" s="168"/>
      <c r="D2" s="169"/>
      <c r="E2" s="169"/>
      <c r="F2" s="169"/>
      <c r="G2" s="169"/>
      <c r="H2" s="169"/>
      <c r="I2" s="169"/>
      <c r="J2" s="170"/>
    </row>
    <row r="3" spans="2:61" s="1" customFormat="1" ht="6.75" customHeight="1" x14ac:dyDescent="0.2">
      <c r="B3" s="171"/>
      <c r="C3" s="172"/>
      <c r="D3" s="172"/>
      <c r="E3" s="172"/>
      <c r="F3" s="172"/>
      <c r="G3" s="172"/>
      <c r="H3" s="172"/>
      <c r="I3" s="172"/>
      <c r="J3" s="173"/>
    </row>
    <row r="4" spans="2:61" s="1" customFormat="1" ht="96.75" customHeight="1" x14ac:dyDescent="0.2">
      <c r="B4" s="68" t="s">
        <v>1</v>
      </c>
      <c r="C4" s="69" t="s">
        <v>15</v>
      </c>
      <c r="D4" s="70" t="s">
        <v>10</v>
      </c>
      <c r="E4" s="70" t="s">
        <v>14</v>
      </c>
      <c r="F4" s="70" t="s">
        <v>12</v>
      </c>
      <c r="G4" s="70" t="s">
        <v>9</v>
      </c>
      <c r="H4" s="70" t="s">
        <v>16</v>
      </c>
      <c r="I4" s="69" t="s">
        <v>58</v>
      </c>
      <c r="J4" s="71" t="s">
        <v>90</v>
      </c>
    </row>
    <row r="5" spans="2:61" s="1" customFormat="1" ht="8.25" customHeight="1" thickBot="1" x14ac:dyDescent="0.25">
      <c r="B5" s="174"/>
      <c r="C5" s="175"/>
      <c r="D5" s="175"/>
      <c r="E5" s="175"/>
      <c r="F5" s="175"/>
      <c r="G5" s="175"/>
      <c r="H5" s="175"/>
      <c r="I5" s="175"/>
      <c r="J5" s="176"/>
    </row>
    <row r="6" spans="2:61" x14ac:dyDescent="0.15">
      <c r="B6" s="135" t="s">
        <v>95</v>
      </c>
      <c r="C6" s="122">
        <v>255</v>
      </c>
      <c r="D6" s="153">
        <f>Normenblad!BQ6*offerteuur</f>
        <v>0</v>
      </c>
      <c r="E6" s="153">
        <f>Normenblad!BR6*offerteuur</f>
        <v>0</v>
      </c>
      <c r="F6" s="153">
        <f>Normenblad!BS6*offerteuur</f>
        <v>0</v>
      </c>
      <c r="G6" s="153">
        <f>Normenblad!BT6*offerteuur</f>
        <v>0</v>
      </c>
      <c r="H6" s="153">
        <f>Normenblad!BU6*offerteuur</f>
        <v>0</v>
      </c>
      <c r="I6" s="154">
        <f>Normenblad!BV6*offerteuur</f>
        <v>0</v>
      </c>
      <c r="J6" s="159">
        <f t="shared" ref="J6:J21" si="0">SUM(D6:I6)</f>
        <v>0</v>
      </c>
      <c r="AS6" s="48" t="s">
        <v>95</v>
      </c>
      <c r="AT6" s="4">
        <f t="shared" ref="AT6:AT21" si="1">COUNTIF($AS$6:$AS$21, AS6)</f>
        <v>1</v>
      </c>
      <c r="AW6" s="4">
        <f>IF(ISERROR(Ruimtestaat!#REF!),0,IF(Ruimtestaat!#REF!&gt;0,1,0))</f>
        <v>0</v>
      </c>
      <c r="AX6" s="4">
        <f>IF(ISERROR(Ruimtestaat!#REF!),0,IF(Ruimtestaat!#REF!&gt;0,1,0))</f>
        <v>0</v>
      </c>
      <c r="AY6" s="4">
        <f>IF(ISERROR(Ruimtestaat!D6),0,IF(Ruimtestaat!D6&gt;0,1,0))</f>
        <v>1</v>
      </c>
      <c r="AZ6" s="4">
        <f>IF(ISERROR(Ruimtestaat!#REF!),0,IF(Ruimtestaat!#REF!&gt;0,1,0))</f>
        <v>0</v>
      </c>
      <c r="BA6" s="4">
        <f>IF(ISERROR(Ruimtestaat!#REF!),0,IF(Ruimtestaat!#REF!&gt;0,1,0))</f>
        <v>0</v>
      </c>
      <c r="BB6" s="4">
        <f>IF(ISERROR(Ruimtestaat!#REF!),0,IF(Ruimtestaat!#REF!&gt;0,1,0))</f>
        <v>0</v>
      </c>
      <c r="BC6" s="4">
        <f>IF(ISERROR(Ruimtestaat!E6),0,IF(Ruimtestaat!E6&gt;0,1,0))</f>
        <v>0</v>
      </c>
      <c r="BD6" s="4">
        <f>IF(ISERROR(Ruimtestaat!F6),0,IF(Ruimtestaat!F6&gt;0,1,0))</f>
        <v>1</v>
      </c>
      <c r="BE6" s="4">
        <f>IF(ISERROR(Ruimtestaat!G6),0,IF(Ruimtestaat!G6&gt;0,1,0))</f>
        <v>1</v>
      </c>
      <c r="BF6" s="4">
        <f>IF(ISERROR(Ruimtestaat!#REF!),0,IF(Ruimtestaat!#REF!&gt;0,1,0))</f>
        <v>0</v>
      </c>
      <c r="BG6" s="4">
        <f>IF(ISERROR(Ruimtestaat!H6),0,IF(Ruimtestaat!H6&gt;0,1,0))</f>
        <v>1</v>
      </c>
      <c r="BH6" s="4">
        <f>IF(ISERROR(Ruimtestaat!#REF!),0,IF(Ruimtestaat!#REF!&gt;0,1,0))</f>
        <v>0</v>
      </c>
      <c r="BI6" s="4">
        <f>IF(ISERROR(Ruimtestaat!#REF!),0,IF(Ruimtestaat!#REF!&gt;0,1,0))</f>
        <v>0</v>
      </c>
    </row>
    <row r="7" spans="2:61" x14ac:dyDescent="0.15">
      <c r="B7" s="136" t="s">
        <v>183</v>
      </c>
      <c r="C7" s="123">
        <v>255</v>
      </c>
      <c r="D7" s="155">
        <f>Normenblad!BQ7*offerteuur</f>
        <v>0</v>
      </c>
      <c r="E7" s="155">
        <f>Normenblad!BR7*offerteuur</f>
        <v>0</v>
      </c>
      <c r="F7" s="155">
        <f>Normenblad!BS7*offerteuur</f>
        <v>0</v>
      </c>
      <c r="G7" s="155">
        <f>Normenblad!BT7*offerteuur</f>
        <v>0</v>
      </c>
      <c r="H7" s="155">
        <f>Normenblad!BU7*offerteuur</f>
        <v>0</v>
      </c>
      <c r="I7" s="156">
        <f>Normenblad!BV7*offerteuur</f>
        <v>0</v>
      </c>
      <c r="J7" s="160">
        <f t="shared" si="0"/>
        <v>0</v>
      </c>
      <c r="AS7" s="48" t="s">
        <v>183</v>
      </c>
      <c r="AT7" s="4">
        <f t="shared" si="1"/>
        <v>1</v>
      </c>
      <c r="AW7" s="4">
        <f>IF(ISERROR(Ruimtestaat!#REF!),0,IF(Ruimtestaat!#REF!&gt;0,1,0))</f>
        <v>0</v>
      </c>
      <c r="AX7" s="4">
        <f>IF(ISERROR(Ruimtestaat!#REF!),0,IF(Ruimtestaat!#REF!&gt;0,1,0))</f>
        <v>0</v>
      </c>
      <c r="AY7" s="4">
        <f>IF(ISERROR(Ruimtestaat!D7),0,IF(Ruimtestaat!D7&gt;0,1,0))</f>
        <v>1</v>
      </c>
      <c r="AZ7" s="4">
        <f>IF(ISERROR(Ruimtestaat!#REF!),0,IF(Ruimtestaat!#REF!&gt;0,1,0))</f>
        <v>0</v>
      </c>
      <c r="BA7" s="4">
        <f>IF(ISERROR(Ruimtestaat!#REF!),0,IF(Ruimtestaat!#REF!&gt;0,1,0))</f>
        <v>0</v>
      </c>
      <c r="BB7" s="4">
        <f>IF(ISERROR(Ruimtestaat!#REF!),0,IF(Ruimtestaat!#REF!&gt;0,1,0))</f>
        <v>0</v>
      </c>
      <c r="BC7" s="4">
        <f>IF(ISERROR(Ruimtestaat!E7),0,IF(Ruimtestaat!E7&gt;0,1,0))</f>
        <v>0</v>
      </c>
      <c r="BD7" s="4">
        <f>IF(ISERROR(Ruimtestaat!F7),0,IF(Ruimtestaat!F7&gt;0,1,0))</f>
        <v>0</v>
      </c>
      <c r="BE7" s="4">
        <f>IF(ISERROR(Ruimtestaat!G7),0,IF(Ruimtestaat!G7&gt;0,1,0))</f>
        <v>1</v>
      </c>
      <c r="BF7" s="4">
        <f>IF(ISERROR(Ruimtestaat!#REF!),0,IF(Ruimtestaat!#REF!&gt;0,1,0))</f>
        <v>0</v>
      </c>
      <c r="BG7" s="4">
        <f>IF(ISERROR(Ruimtestaat!H7),0,IF(Ruimtestaat!H7&gt;0,1,0))</f>
        <v>1</v>
      </c>
      <c r="BH7" s="4">
        <f>IF(ISERROR(Ruimtestaat!#REF!),0,IF(Ruimtestaat!#REF!&gt;0,1,0))</f>
        <v>0</v>
      </c>
      <c r="BI7" s="4">
        <f>IF(ISERROR(Ruimtestaat!#REF!),0,IF(Ruimtestaat!#REF!&gt;0,1,0))</f>
        <v>0</v>
      </c>
    </row>
    <row r="8" spans="2:61" x14ac:dyDescent="0.15">
      <c r="B8" s="137" t="s">
        <v>97</v>
      </c>
      <c r="C8" s="123">
        <v>26</v>
      </c>
      <c r="D8" s="155">
        <f>Normenblad!BQ8*offerteuur</f>
        <v>0</v>
      </c>
      <c r="E8" s="155">
        <f>Normenblad!BR8*offerteuur</f>
        <v>0</v>
      </c>
      <c r="F8" s="155">
        <f>Normenblad!BS8*offerteuur</f>
        <v>0</v>
      </c>
      <c r="G8" s="155">
        <f>Normenblad!BT8*offerteuur</f>
        <v>0</v>
      </c>
      <c r="H8" s="155">
        <f>Normenblad!BU8*offerteuur</f>
        <v>0</v>
      </c>
      <c r="I8" s="156">
        <f>Normenblad!BV8*offerteuur</f>
        <v>0</v>
      </c>
      <c r="J8" s="160">
        <f t="shared" si="0"/>
        <v>0</v>
      </c>
      <c r="AS8" s="110" t="s">
        <v>97</v>
      </c>
      <c r="AT8" s="4">
        <f t="shared" si="1"/>
        <v>1</v>
      </c>
      <c r="AW8" s="4">
        <f>IF(ISERROR(Ruimtestaat!#REF!),0,IF(Ruimtestaat!#REF!&gt;0,1,0))</f>
        <v>0</v>
      </c>
      <c r="AX8" s="4">
        <f>IF(ISERROR(Ruimtestaat!#REF!),0,IF(Ruimtestaat!#REF!&gt;0,1,0))</f>
        <v>0</v>
      </c>
      <c r="AY8" s="4">
        <f>IF(ISERROR(Ruimtestaat!D8),0,IF(Ruimtestaat!D8&gt;0,1,0))</f>
        <v>0</v>
      </c>
      <c r="AZ8" s="4">
        <f>IF(ISERROR(Ruimtestaat!#REF!),0,IF(Ruimtestaat!#REF!&gt;0,1,0))</f>
        <v>0</v>
      </c>
      <c r="BA8" s="4">
        <f>IF(ISERROR(Ruimtestaat!#REF!),0,IF(Ruimtestaat!#REF!&gt;0,1,0))</f>
        <v>0</v>
      </c>
      <c r="BB8" s="4">
        <f>IF(ISERROR(Ruimtestaat!#REF!),0,IF(Ruimtestaat!#REF!&gt;0,1,0))</f>
        <v>0</v>
      </c>
      <c r="BC8" s="4">
        <f>IF(ISERROR(Ruimtestaat!E8),0,IF(Ruimtestaat!E8&gt;0,1,0))</f>
        <v>0</v>
      </c>
      <c r="BD8" s="4">
        <f>IF(ISERROR(Ruimtestaat!F8),0,IF(Ruimtestaat!F8&gt;0,1,0))</f>
        <v>1</v>
      </c>
      <c r="BE8" s="4">
        <f>IF(ISERROR(Ruimtestaat!G8),0,IF(Ruimtestaat!G8&gt;0,1,0))</f>
        <v>1</v>
      </c>
      <c r="BF8" s="4">
        <f>IF(ISERROR(Ruimtestaat!#REF!),0,IF(Ruimtestaat!#REF!&gt;0,1,0))</f>
        <v>0</v>
      </c>
      <c r="BG8" s="4">
        <f>IF(ISERROR(Ruimtestaat!H8),0,IF(Ruimtestaat!H8&gt;0,1,0))</f>
        <v>1</v>
      </c>
      <c r="BH8" s="4">
        <f>IF(ISERROR(Ruimtestaat!#REF!),0,IF(Ruimtestaat!#REF!&gt;0,1,0))</f>
        <v>0</v>
      </c>
      <c r="BI8" s="4">
        <f>IF(ISERROR(Ruimtestaat!#REF!),0,IF(Ruimtestaat!#REF!&gt;0,1,0))</f>
        <v>0</v>
      </c>
    </row>
    <row r="9" spans="2:61" x14ac:dyDescent="0.15">
      <c r="B9" s="137" t="s">
        <v>174</v>
      </c>
      <c r="C9" s="123">
        <v>26</v>
      </c>
      <c r="D9" s="155">
        <f>Normenblad!BQ9*offerteuur</f>
        <v>0</v>
      </c>
      <c r="E9" s="155">
        <f>Normenblad!BR9*offerteuur</f>
        <v>0</v>
      </c>
      <c r="F9" s="155">
        <f>Normenblad!BS9*offerteuur</f>
        <v>0</v>
      </c>
      <c r="G9" s="155">
        <f>Normenblad!BT9*offerteuur</f>
        <v>0</v>
      </c>
      <c r="H9" s="155">
        <f>Normenblad!BU9*offerteuur</f>
        <v>0</v>
      </c>
      <c r="I9" s="156">
        <f>Normenblad!BV9*offerteuur</f>
        <v>0</v>
      </c>
      <c r="J9" s="160">
        <f t="shared" si="0"/>
        <v>0</v>
      </c>
      <c r="AS9" s="110" t="s">
        <v>174</v>
      </c>
      <c r="AT9" s="4">
        <f t="shared" si="1"/>
        <v>1</v>
      </c>
      <c r="AW9" s="4">
        <f>IF(ISERROR(Ruimtestaat!#REF!),0,IF(Ruimtestaat!#REF!&gt;0,1,0))</f>
        <v>0</v>
      </c>
      <c r="AX9" s="4">
        <f>IF(ISERROR(Ruimtestaat!#REF!),0,IF(Ruimtestaat!#REF!&gt;0,1,0))</f>
        <v>0</v>
      </c>
      <c r="AY9" s="4">
        <f>IF(ISERROR(Ruimtestaat!D9),0,IF(Ruimtestaat!D9&gt;0,1,0))</f>
        <v>0</v>
      </c>
      <c r="AZ9" s="4">
        <f>IF(ISERROR(Ruimtestaat!#REF!),0,IF(Ruimtestaat!#REF!&gt;0,1,0))</f>
        <v>0</v>
      </c>
      <c r="BA9" s="4">
        <f>IF(ISERROR(Ruimtestaat!#REF!),0,IF(Ruimtestaat!#REF!&gt;0,1,0))</f>
        <v>0</v>
      </c>
      <c r="BB9" s="4">
        <f>IF(ISERROR(Ruimtestaat!#REF!),0,IF(Ruimtestaat!#REF!&gt;0,1,0))</f>
        <v>0</v>
      </c>
      <c r="BC9" s="4">
        <f>IF(ISERROR(Ruimtestaat!E9),0,IF(Ruimtestaat!E9&gt;0,1,0))</f>
        <v>0</v>
      </c>
      <c r="BD9" s="4">
        <f>IF(ISERROR(Ruimtestaat!F9),0,IF(Ruimtestaat!F9&gt;0,1,0))</f>
        <v>1</v>
      </c>
      <c r="BE9" s="4">
        <f>IF(ISERROR(Ruimtestaat!G9),0,IF(Ruimtestaat!G9&gt;0,1,0))</f>
        <v>1</v>
      </c>
      <c r="BF9" s="4">
        <f>IF(ISERROR(Ruimtestaat!#REF!),0,IF(Ruimtestaat!#REF!&gt;0,1,0))</f>
        <v>0</v>
      </c>
      <c r="BG9" s="4">
        <f>IF(ISERROR(Ruimtestaat!H9),0,IF(Ruimtestaat!H9&gt;0,1,0))</f>
        <v>1</v>
      </c>
      <c r="BH9" s="4">
        <f>IF(ISERROR(Ruimtestaat!#REF!),0,IF(Ruimtestaat!#REF!&gt;0,1,0))</f>
        <v>0</v>
      </c>
      <c r="BI9" s="4">
        <f>IF(ISERROR(Ruimtestaat!#REF!),0,IF(Ruimtestaat!#REF!&gt;0,1,0))</f>
        <v>0</v>
      </c>
    </row>
    <row r="10" spans="2:61" x14ac:dyDescent="0.15">
      <c r="B10" s="137" t="s">
        <v>150</v>
      </c>
      <c r="C10" s="123">
        <v>26</v>
      </c>
      <c r="D10" s="155">
        <f>Normenblad!BQ10*offerteuur</f>
        <v>0</v>
      </c>
      <c r="E10" s="155">
        <f>Normenblad!BR10*offerteuur</f>
        <v>0</v>
      </c>
      <c r="F10" s="155">
        <f>Normenblad!BS10*offerteuur</f>
        <v>0</v>
      </c>
      <c r="G10" s="155">
        <f>Normenblad!BT10*offerteuur</f>
        <v>0</v>
      </c>
      <c r="H10" s="155">
        <f>Normenblad!BU10*offerteuur</f>
        <v>0</v>
      </c>
      <c r="I10" s="156">
        <f>Normenblad!BV10*offerteuur</f>
        <v>0</v>
      </c>
      <c r="J10" s="160">
        <f t="shared" si="0"/>
        <v>0</v>
      </c>
      <c r="AS10" s="110" t="s">
        <v>150</v>
      </c>
      <c r="AT10" s="4">
        <f t="shared" si="1"/>
        <v>1</v>
      </c>
      <c r="AW10" s="4">
        <f>IF(ISERROR(Ruimtestaat!#REF!),0,IF(Ruimtestaat!#REF!&gt;0,1,0))</f>
        <v>0</v>
      </c>
      <c r="AX10" s="4">
        <f>IF(ISERROR(Ruimtestaat!#REF!),0,IF(Ruimtestaat!#REF!&gt;0,1,0))</f>
        <v>0</v>
      </c>
      <c r="AY10" s="4">
        <f>IF(ISERROR(Ruimtestaat!D10),0,IF(Ruimtestaat!D10&gt;0,1,0))</f>
        <v>0</v>
      </c>
      <c r="AZ10" s="4">
        <f>IF(ISERROR(Ruimtestaat!#REF!),0,IF(Ruimtestaat!#REF!&gt;0,1,0))</f>
        <v>0</v>
      </c>
      <c r="BA10" s="4">
        <f>IF(ISERROR(Ruimtestaat!#REF!),0,IF(Ruimtestaat!#REF!&gt;0,1,0))</f>
        <v>0</v>
      </c>
      <c r="BB10" s="4">
        <f>IF(ISERROR(Ruimtestaat!#REF!),0,IF(Ruimtestaat!#REF!&gt;0,1,0))</f>
        <v>0</v>
      </c>
      <c r="BC10" s="4">
        <f>IF(ISERROR(Ruimtestaat!E10),0,IF(Ruimtestaat!E10&gt;0,1,0))</f>
        <v>0</v>
      </c>
      <c r="BD10" s="4">
        <f>IF(ISERROR(Ruimtestaat!F10),0,IF(Ruimtestaat!F10&gt;0,1,0))</f>
        <v>1</v>
      </c>
      <c r="BE10" s="4">
        <f>IF(ISERROR(Ruimtestaat!G10),0,IF(Ruimtestaat!G10&gt;0,1,0))</f>
        <v>1</v>
      </c>
      <c r="BF10" s="4">
        <f>IF(ISERROR(Ruimtestaat!#REF!),0,IF(Ruimtestaat!#REF!&gt;0,1,0))</f>
        <v>0</v>
      </c>
      <c r="BG10" s="4">
        <f>IF(ISERROR(Ruimtestaat!H10),0,IF(Ruimtestaat!H10&gt;0,1,0))</f>
        <v>1</v>
      </c>
      <c r="BH10" s="4">
        <f>IF(ISERROR(Ruimtestaat!#REF!),0,IF(Ruimtestaat!#REF!&gt;0,1,0))</f>
        <v>0</v>
      </c>
      <c r="BI10" s="4">
        <f>IF(ISERROR(Ruimtestaat!#REF!),0,IF(Ruimtestaat!#REF!&gt;0,1,0))</f>
        <v>0</v>
      </c>
    </row>
    <row r="11" spans="2:61" x14ac:dyDescent="0.15">
      <c r="B11" s="137" t="s">
        <v>167</v>
      </c>
      <c r="C11" s="123">
        <v>52</v>
      </c>
      <c r="D11" s="155">
        <f>Normenblad!BQ11*offerteuur</f>
        <v>0</v>
      </c>
      <c r="E11" s="155">
        <f>Normenblad!BR11*offerteuur</f>
        <v>0</v>
      </c>
      <c r="F11" s="155">
        <f>Normenblad!BS11*offerteuur</f>
        <v>0</v>
      </c>
      <c r="G11" s="155">
        <f>Normenblad!BT11*offerteuur</f>
        <v>0</v>
      </c>
      <c r="H11" s="155">
        <f>Normenblad!BU11*offerteuur</f>
        <v>0</v>
      </c>
      <c r="I11" s="156">
        <f>Normenblad!BV11*offerteuur</f>
        <v>0</v>
      </c>
      <c r="J11" s="160">
        <f t="shared" si="0"/>
        <v>0</v>
      </c>
      <c r="AS11" s="110" t="s">
        <v>167</v>
      </c>
      <c r="AT11" s="4">
        <f t="shared" si="1"/>
        <v>1</v>
      </c>
      <c r="AW11" s="4">
        <f>IF(ISERROR(Ruimtestaat!#REF!),0,IF(Ruimtestaat!#REF!&gt;0,1,0))</f>
        <v>0</v>
      </c>
      <c r="AX11" s="4">
        <f>IF(ISERROR(Ruimtestaat!#REF!),0,IF(Ruimtestaat!#REF!&gt;0,1,0))</f>
        <v>0</v>
      </c>
      <c r="AY11" s="4">
        <f>IF(ISERROR(Ruimtestaat!D11),0,IF(Ruimtestaat!D11&gt;0,1,0))</f>
        <v>1</v>
      </c>
      <c r="AZ11" s="4">
        <f>IF(ISERROR(Ruimtestaat!#REF!),0,IF(Ruimtestaat!#REF!&gt;0,1,0))</f>
        <v>0</v>
      </c>
      <c r="BA11" s="4">
        <f>IF(ISERROR(Ruimtestaat!#REF!),0,IF(Ruimtestaat!#REF!&gt;0,1,0))</f>
        <v>0</v>
      </c>
      <c r="BB11" s="4">
        <f>IF(ISERROR(Ruimtestaat!#REF!),0,IF(Ruimtestaat!#REF!&gt;0,1,0))</f>
        <v>0</v>
      </c>
      <c r="BC11" s="4">
        <f>IF(ISERROR(Ruimtestaat!E11),0,IF(Ruimtestaat!E11&gt;0,1,0))</f>
        <v>0</v>
      </c>
      <c r="BD11" s="4">
        <f>IF(ISERROR(Ruimtestaat!F11),0,IF(Ruimtestaat!F11&gt;0,1,0))</f>
        <v>1</v>
      </c>
      <c r="BE11" s="4">
        <f>IF(ISERROR(Ruimtestaat!G11),0,IF(Ruimtestaat!G11&gt;0,1,0))</f>
        <v>1</v>
      </c>
      <c r="BF11" s="4">
        <f>IF(ISERROR(Ruimtestaat!#REF!),0,IF(Ruimtestaat!#REF!&gt;0,1,0))</f>
        <v>0</v>
      </c>
      <c r="BG11" s="4">
        <f>IF(ISERROR(Ruimtestaat!H11),0,IF(Ruimtestaat!H11&gt;0,1,0))</f>
        <v>1</v>
      </c>
      <c r="BH11" s="4">
        <f>IF(ISERROR(Ruimtestaat!#REF!),0,IF(Ruimtestaat!#REF!&gt;0,1,0))</f>
        <v>0</v>
      </c>
      <c r="BI11" s="4">
        <f>IF(ISERROR(Ruimtestaat!#REF!),0,IF(Ruimtestaat!#REF!&gt;0,1,0))</f>
        <v>0</v>
      </c>
    </row>
    <row r="12" spans="2:61" x14ac:dyDescent="0.15">
      <c r="B12" s="137" t="s">
        <v>141</v>
      </c>
      <c r="C12" s="123">
        <v>52</v>
      </c>
      <c r="D12" s="155">
        <f>Normenblad!BQ12*offerteuur</f>
        <v>0</v>
      </c>
      <c r="E12" s="155">
        <f>Normenblad!BR12*offerteuur</f>
        <v>0</v>
      </c>
      <c r="F12" s="155">
        <f>Normenblad!BS12*offerteuur</f>
        <v>0</v>
      </c>
      <c r="G12" s="155">
        <f>Normenblad!BT12*offerteuur</f>
        <v>0</v>
      </c>
      <c r="H12" s="155">
        <f>Normenblad!BU12*offerteuur</f>
        <v>0</v>
      </c>
      <c r="I12" s="156">
        <f>Normenblad!BV12*offerteuur</f>
        <v>0</v>
      </c>
      <c r="J12" s="160">
        <f t="shared" si="0"/>
        <v>0</v>
      </c>
      <c r="AS12" s="110" t="s">
        <v>141</v>
      </c>
      <c r="AT12" s="4">
        <f t="shared" si="1"/>
        <v>1</v>
      </c>
      <c r="AW12" s="4">
        <f>IF(ISERROR(Ruimtestaat!#REF!),0,IF(Ruimtestaat!#REF!&gt;0,1,0))</f>
        <v>0</v>
      </c>
      <c r="AX12" s="4">
        <f>IF(ISERROR(Ruimtestaat!#REF!),0,IF(Ruimtestaat!#REF!&gt;0,1,0))</f>
        <v>0</v>
      </c>
      <c r="AY12" s="4">
        <f>IF(ISERROR(Ruimtestaat!D12),0,IF(Ruimtestaat!D12&gt;0,1,0))</f>
        <v>0</v>
      </c>
      <c r="AZ12" s="4">
        <f>IF(ISERROR(Ruimtestaat!#REF!),0,IF(Ruimtestaat!#REF!&gt;0,1,0))</f>
        <v>0</v>
      </c>
      <c r="BA12" s="4">
        <f>IF(ISERROR(Ruimtestaat!#REF!),0,IF(Ruimtestaat!#REF!&gt;0,1,0))</f>
        <v>0</v>
      </c>
      <c r="BB12" s="4">
        <f>IF(ISERROR(Ruimtestaat!#REF!),0,IF(Ruimtestaat!#REF!&gt;0,1,0))</f>
        <v>0</v>
      </c>
      <c r="BC12" s="4">
        <f>IF(ISERROR(Ruimtestaat!E12),0,IF(Ruimtestaat!E12&gt;0,1,0))</f>
        <v>0</v>
      </c>
      <c r="BD12" s="4">
        <f>IF(ISERROR(Ruimtestaat!F12),0,IF(Ruimtestaat!F12&gt;0,1,0))</f>
        <v>1</v>
      </c>
      <c r="BE12" s="4">
        <f>IF(ISERROR(Ruimtestaat!G12),0,IF(Ruimtestaat!G12&gt;0,1,0))</f>
        <v>1</v>
      </c>
      <c r="BF12" s="4">
        <f>IF(ISERROR(Ruimtestaat!#REF!),0,IF(Ruimtestaat!#REF!&gt;0,1,0))</f>
        <v>0</v>
      </c>
      <c r="BG12" s="4">
        <f>IF(ISERROR(Ruimtestaat!H12),0,IF(Ruimtestaat!H12&gt;0,1,0))</f>
        <v>1</v>
      </c>
      <c r="BH12" s="4">
        <f>IF(ISERROR(Ruimtestaat!#REF!),0,IF(Ruimtestaat!#REF!&gt;0,1,0))</f>
        <v>0</v>
      </c>
      <c r="BI12" s="4">
        <f>IF(ISERROR(Ruimtestaat!#REF!),0,IF(Ruimtestaat!#REF!&gt;0,1,0))</f>
        <v>0</v>
      </c>
    </row>
    <row r="13" spans="2:61" x14ac:dyDescent="0.15">
      <c r="B13" s="137" t="s">
        <v>146</v>
      </c>
      <c r="C13" s="123">
        <v>52</v>
      </c>
      <c r="D13" s="155">
        <f>Normenblad!BQ13*offerteuur</f>
        <v>0</v>
      </c>
      <c r="E13" s="155">
        <f>Normenblad!BR13*offerteuur</f>
        <v>0</v>
      </c>
      <c r="F13" s="155">
        <f>Normenblad!BS13*offerteuur</f>
        <v>0</v>
      </c>
      <c r="G13" s="155">
        <f>Normenblad!BT13*offerteuur</f>
        <v>0</v>
      </c>
      <c r="H13" s="155">
        <f>Normenblad!BU13*offerteuur</f>
        <v>0</v>
      </c>
      <c r="I13" s="156">
        <f>Normenblad!BV13*offerteuur</f>
        <v>0</v>
      </c>
      <c r="J13" s="160">
        <f t="shared" si="0"/>
        <v>0</v>
      </c>
      <c r="AS13" s="110" t="s">
        <v>146</v>
      </c>
      <c r="AT13" s="4">
        <f t="shared" si="1"/>
        <v>1</v>
      </c>
      <c r="AW13" s="4">
        <f>IF(ISERROR(Ruimtestaat!#REF!),0,IF(Ruimtestaat!#REF!&gt;0,1,0))</f>
        <v>0</v>
      </c>
      <c r="AX13" s="4">
        <f>IF(ISERROR(Ruimtestaat!#REF!),0,IF(Ruimtestaat!#REF!&gt;0,1,0))</f>
        <v>0</v>
      </c>
      <c r="AY13" s="4">
        <f>IF(ISERROR(Ruimtestaat!D13),0,IF(Ruimtestaat!D13&gt;0,1,0))</f>
        <v>1</v>
      </c>
      <c r="AZ13" s="4">
        <f>IF(ISERROR(Ruimtestaat!#REF!),0,IF(Ruimtestaat!#REF!&gt;0,1,0))</f>
        <v>0</v>
      </c>
      <c r="BA13" s="4">
        <f>IF(ISERROR(Ruimtestaat!#REF!),0,IF(Ruimtestaat!#REF!&gt;0,1,0))</f>
        <v>0</v>
      </c>
      <c r="BB13" s="4">
        <f>IF(ISERROR(Ruimtestaat!#REF!),0,IF(Ruimtestaat!#REF!&gt;0,1,0))</f>
        <v>0</v>
      </c>
      <c r="BC13" s="4">
        <f>IF(ISERROR(Ruimtestaat!E13),0,IF(Ruimtestaat!E13&gt;0,1,0))</f>
        <v>0</v>
      </c>
      <c r="BD13" s="4">
        <f>IF(ISERROR(Ruimtestaat!F13),0,IF(Ruimtestaat!F13&gt;0,1,0))</f>
        <v>1</v>
      </c>
      <c r="BE13" s="4">
        <f>IF(ISERROR(Ruimtestaat!G13),0,IF(Ruimtestaat!G13&gt;0,1,0))</f>
        <v>1</v>
      </c>
      <c r="BF13" s="4">
        <f>IF(ISERROR(Ruimtestaat!#REF!),0,IF(Ruimtestaat!#REF!&gt;0,1,0))</f>
        <v>0</v>
      </c>
      <c r="BG13" s="4">
        <f>IF(ISERROR(Ruimtestaat!H13),0,IF(Ruimtestaat!H13&gt;0,1,0))</f>
        <v>0</v>
      </c>
      <c r="BH13" s="4">
        <f>IF(ISERROR(Ruimtestaat!#REF!),0,IF(Ruimtestaat!#REF!&gt;0,1,0))</f>
        <v>0</v>
      </c>
      <c r="BI13" s="4">
        <f>IF(ISERROR(Ruimtestaat!#REF!),0,IF(Ruimtestaat!#REF!&gt;0,1,0))</f>
        <v>0</v>
      </c>
    </row>
    <row r="14" spans="2:61" x14ac:dyDescent="0.15">
      <c r="B14" s="137" t="s">
        <v>154</v>
      </c>
      <c r="C14" s="123">
        <v>104</v>
      </c>
      <c r="D14" s="155">
        <f>Normenblad!BQ14*offerteuur</f>
        <v>0</v>
      </c>
      <c r="E14" s="155">
        <f>Normenblad!BR14*offerteuur</f>
        <v>0</v>
      </c>
      <c r="F14" s="155">
        <f>Normenblad!BS14*offerteuur</f>
        <v>0</v>
      </c>
      <c r="G14" s="155">
        <f>Normenblad!BT14*offerteuur</f>
        <v>0</v>
      </c>
      <c r="H14" s="155">
        <f>Normenblad!BU14*offerteuur</f>
        <v>0</v>
      </c>
      <c r="I14" s="156">
        <f>Normenblad!BV14*offerteuur</f>
        <v>0</v>
      </c>
      <c r="J14" s="160">
        <f t="shared" si="0"/>
        <v>0</v>
      </c>
      <c r="AS14" s="110" t="s">
        <v>154</v>
      </c>
      <c r="AT14" s="4">
        <f t="shared" si="1"/>
        <v>1</v>
      </c>
      <c r="AW14" s="4">
        <f>IF(ISERROR(Ruimtestaat!#REF!),0,IF(Ruimtestaat!#REF!&gt;0,1,0))</f>
        <v>0</v>
      </c>
      <c r="AX14" s="4">
        <f>IF(ISERROR(Ruimtestaat!#REF!),0,IF(Ruimtestaat!#REF!&gt;0,1,0))</f>
        <v>0</v>
      </c>
      <c r="AY14" s="4">
        <f>IF(ISERROR(Ruimtestaat!D14),0,IF(Ruimtestaat!D14&gt;0,1,0))</f>
        <v>1</v>
      </c>
      <c r="AZ14" s="4">
        <f>IF(ISERROR(Ruimtestaat!#REF!),0,IF(Ruimtestaat!#REF!&gt;0,1,0))</f>
        <v>0</v>
      </c>
      <c r="BA14" s="4">
        <f>IF(ISERROR(Ruimtestaat!#REF!),0,IF(Ruimtestaat!#REF!&gt;0,1,0))</f>
        <v>0</v>
      </c>
      <c r="BB14" s="4">
        <f>IF(ISERROR(Ruimtestaat!#REF!),0,IF(Ruimtestaat!#REF!&gt;0,1,0))</f>
        <v>0</v>
      </c>
      <c r="BC14" s="4">
        <f>IF(ISERROR(Ruimtestaat!E14),0,IF(Ruimtestaat!E14&gt;0,1,0))</f>
        <v>1</v>
      </c>
      <c r="BD14" s="4">
        <f>IF(ISERROR(Ruimtestaat!F14),0,IF(Ruimtestaat!F14&gt;0,1,0))</f>
        <v>1</v>
      </c>
      <c r="BE14" s="4">
        <f>IF(ISERROR(Ruimtestaat!G14),0,IF(Ruimtestaat!G14&gt;0,1,0))</f>
        <v>1</v>
      </c>
      <c r="BF14" s="4">
        <f>IF(ISERROR(Ruimtestaat!#REF!),0,IF(Ruimtestaat!#REF!&gt;0,1,0))</f>
        <v>0</v>
      </c>
      <c r="BG14" s="4">
        <f>IF(ISERROR(Ruimtestaat!H14),0,IF(Ruimtestaat!H14&gt;0,1,0))</f>
        <v>1</v>
      </c>
      <c r="BH14" s="4">
        <f>IF(ISERROR(Ruimtestaat!#REF!),0,IF(Ruimtestaat!#REF!&gt;0,1,0))</f>
        <v>0</v>
      </c>
      <c r="BI14" s="4">
        <f>IF(ISERROR(Ruimtestaat!#REF!),0,IF(Ruimtestaat!#REF!&gt;0,1,0))</f>
        <v>0</v>
      </c>
    </row>
    <row r="15" spans="2:61" x14ac:dyDescent="0.15">
      <c r="B15" s="137" t="s">
        <v>108</v>
      </c>
      <c r="C15" s="123">
        <v>52</v>
      </c>
      <c r="D15" s="155">
        <f>Normenblad!BQ15*offerteuur</f>
        <v>0</v>
      </c>
      <c r="E15" s="155">
        <f>Normenblad!BR15*offerteuur</f>
        <v>0</v>
      </c>
      <c r="F15" s="155">
        <f>Normenblad!BS15*offerteuur</f>
        <v>0</v>
      </c>
      <c r="G15" s="155">
        <f>Normenblad!BT15*offerteuur</f>
        <v>0</v>
      </c>
      <c r="H15" s="155">
        <f>Normenblad!BU15*offerteuur</f>
        <v>0</v>
      </c>
      <c r="I15" s="156">
        <f>Normenblad!BV15*offerteuur</f>
        <v>0</v>
      </c>
      <c r="J15" s="160">
        <f t="shared" si="0"/>
        <v>0</v>
      </c>
      <c r="AS15" s="110" t="s">
        <v>108</v>
      </c>
      <c r="AT15" s="4">
        <f t="shared" si="1"/>
        <v>1</v>
      </c>
      <c r="AW15" s="4">
        <f>IF(ISERROR(Ruimtestaat!#REF!),0,IF(Ruimtestaat!#REF!&gt;0,1,0))</f>
        <v>0</v>
      </c>
      <c r="AX15" s="4">
        <f>IF(ISERROR(Ruimtestaat!#REF!),0,IF(Ruimtestaat!#REF!&gt;0,1,0))</f>
        <v>0</v>
      </c>
      <c r="AY15" s="4">
        <f>IF(ISERROR(Ruimtestaat!D15),0,IF(Ruimtestaat!D15&gt;0,1,0))</f>
        <v>0</v>
      </c>
      <c r="AZ15" s="4">
        <f>IF(ISERROR(Ruimtestaat!#REF!),0,IF(Ruimtestaat!#REF!&gt;0,1,0))</f>
        <v>0</v>
      </c>
      <c r="BA15" s="4">
        <f>IF(ISERROR(Ruimtestaat!#REF!),0,IF(Ruimtestaat!#REF!&gt;0,1,0))</f>
        <v>0</v>
      </c>
      <c r="BB15" s="4">
        <f>IF(ISERROR(Ruimtestaat!#REF!),0,IF(Ruimtestaat!#REF!&gt;0,1,0))</f>
        <v>0</v>
      </c>
      <c r="BC15" s="4">
        <f>IF(ISERROR(Ruimtestaat!E15),0,IF(Ruimtestaat!E15&gt;0,1,0))</f>
        <v>0</v>
      </c>
      <c r="BD15" s="4">
        <f>IF(ISERROR(Ruimtestaat!F15),0,IF(Ruimtestaat!F15&gt;0,1,0))</f>
        <v>1</v>
      </c>
      <c r="BE15" s="4">
        <f>IF(ISERROR(Ruimtestaat!G15),0,IF(Ruimtestaat!G15&gt;0,1,0))</f>
        <v>1</v>
      </c>
      <c r="BF15" s="4">
        <f>IF(ISERROR(Ruimtestaat!#REF!),0,IF(Ruimtestaat!#REF!&gt;0,1,0))</f>
        <v>0</v>
      </c>
      <c r="BG15" s="4">
        <f>IF(ISERROR(Ruimtestaat!H15),0,IF(Ruimtestaat!H15&gt;0,1,0))</f>
        <v>0</v>
      </c>
      <c r="BH15" s="4">
        <f>IF(ISERROR(Ruimtestaat!#REF!),0,IF(Ruimtestaat!#REF!&gt;0,1,0))</f>
        <v>0</v>
      </c>
      <c r="BI15" s="4">
        <f>IF(ISERROR(Ruimtestaat!#REF!),0,IF(Ruimtestaat!#REF!&gt;0,1,0))</f>
        <v>0</v>
      </c>
    </row>
    <row r="16" spans="2:61" x14ac:dyDescent="0.15">
      <c r="B16" s="137" t="s">
        <v>132</v>
      </c>
      <c r="C16" s="123">
        <v>52</v>
      </c>
      <c r="D16" s="155">
        <f>Normenblad!BQ16*offerteuur</f>
        <v>0</v>
      </c>
      <c r="E16" s="155">
        <f>Normenblad!BR16*offerteuur</f>
        <v>0</v>
      </c>
      <c r="F16" s="155">
        <f>Normenblad!BS16*offerteuur</f>
        <v>0</v>
      </c>
      <c r="G16" s="155">
        <f>Normenblad!BT16*offerteuur</f>
        <v>0</v>
      </c>
      <c r="H16" s="155">
        <f>Normenblad!BU16*offerteuur</f>
        <v>0</v>
      </c>
      <c r="I16" s="156">
        <f>Normenblad!BV16*offerteuur</f>
        <v>0</v>
      </c>
      <c r="J16" s="160">
        <f t="shared" si="0"/>
        <v>0</v>
      </c>
      <c r="AS16" s="110" t="s">
        <v>132</v>
      </c>
      <c r="AT16" s="4">
        <f t="shared" si="1"/>
        <v>1</v>
      </c>
      <c r="AW16" s="4">
        <f>IF(ISERROR(Ruimtestaat!#REF!),0,IF(Ruimtestaat!#REF!&gt;0,1,0))</f>
        <v>0</v>
      </c>
      <c r="AX16" s="4">
        <f>IF(ISERROR(Ruimtestaat!#REF!),0,IF(Ruimtestaat!#REF!&gt;0,1,0))</f>
        <v>0</v>
      </c>
      <c r="AY16" s="4">
        <f>IF(ISERROR(Ruimtestaat!D16),0,IF(Ruimtestaat!D16&gt;0,1,0))</f>
        <v>1</v>
      </c>
      <c r="AZ16" s="4">
        <f>IF(ISERROR(Ruimtestaat!#REF!),0,IF(Ruimtestaat!#REF!&gt;0,1,0))</f>
        <v>0</v>
      </c>
      <c r="BA16" s="4">
        <f>IF(ISERROR(Ruimtestaat!#REF!),0,IF(Ruimtestaat!#REF!&gt;0,1,0))</f>
        <v>0</v>
      </c>
      <c r="BB16" s="4">
        <f>IF(ISERROR(Ruimtestaat!#REF!),0,IF(Ruimtestaat!#REF!&gt;0,1,0))</f>
        <v>0</v>
      </c>
      <c r="BC16" s="4">
        <f>IF(ISERROR(Ruimtestaat!E16),0,IF(Ruimtestaat!E16&gt;0,1,0))</f>
        <v>0</v>
      </c>
      <c r="BD16" s="4">
        <f>IF(ISERROR(Ruimtestaat!F16),0,IF(Ruimtestaat!F16&gt;0,1,0))</f>
        <v>1</v>
      </c>
      <c r="BE16" s="4">
        <f>IF(ISERROR(Ruimtestaat!G16),0,IF(Ruimtestaat!G16&gt;0,1,0))</f>
        <v>1</v>
      </c>
      <c r="BF16" s="4">
        <f>IF(ISERROR(Ruimtestaat!#REF!),0,IF(Ruimtestaat!#REF!&gt;0,1,0))</f>
        <v>0</v>
      </c>
      <c r="BG16" s="4">
        <f>IF(ISERROR(Ruimtestaat!H16),0,IF(Ruimtestaat!H16&gt;0,1,0))</f>
        <v>1</v>
      </c>
      <c r="BH16" s="4">
        <f>IF(ISERROR(Ruimtestaat!#REF!),0,IF(Ruimtestaat!#REF!&gt;0,1,0))</f>
        <v>0</v>
      </c>
      <c r="BI16" s="4">
        <f>IF(ISERROR(Ruimtestaat!#REF!),0,IF(Ruimtestaat!#REF!&gt;0,1,0))</f>
        <v>0</v>
      </c>
    </row>
    <row r="17" spans="2:61" x14ac:dyDescent="0.15">
      <c r="B17" s="137" t="s">
        <v>137</v>
      </c>
      <c r="C17" s="123">
        <v>26</v>
      </c>
      <c r="D17" s="155">
        <f>Normenblad!BQ17*offerteuur</f>
        <v>0</v>
      </c>
      <c r="E17" s="155">
        <f>Normenblad!BR17*offerteuur</f>
        <v>0</v>
      </c>
      <c r="F17" s="155">
        <f>Normenblad!BS17*offerteuur</f>
        <v>0</v>
      </c>
      <c r="G17" s="155">
        <f>Normenblad!BT17*offerteuur</f>
        <v>0</v>
      </c>
      <c r="H17" s="155">
        <f>Normenblad!BU17*offerteuur</f>
        <v>0</v>
      </c>
      <c r="I17" s="156">
        <f>Normenblad!BV17*offerteuur</f>
        <v>0</v>
      </c>
      <c r="J17" s="160">
        <f t="shared" si="0"/>
        <v>0</v>
      </c>
      <c r="AS17" s="110" t="s">
        <v>137</v>
      </c>
      <c r="AT17" s="4">
        <f t="shared" si="1"/>
        <v>1</v>
      </c>
      <c r="AW17" s="4">
        <f>IF(ISERROR(Ruimtestaat!#REF!),0,IF(Ruimtestaat!#REF!&gt;0,1,0))</f>
        <v>0</v>
      </c>
      <c r="AX17" s="4">
        <f>IF(ISERROR(Ruimtestaat!#REF!),0,IF(Ruimtestaat!#REF!&gt;0,1,0))</f>
        <v>0</v>
      </c>
      <c r="AY17" s="4">
        <f>IF(ISERROR(Ruimtestaat!D17),0,IF(Ruimtestaat!D17&gt;0,1,0))</f>
        <v>0</v>
      </c>
      <c r="AZ17" s="4">
        <f>IF(ISERROR(Ruimtestaat!#REF!),0,IF(Ruimtestaat!#REF!&gt;0,1,0))</f>
        <v>0</v>
      </c>
      <c r="BA17" s="4">
        <f>IF(ISERROR(Ruimtestaat!#REF!),0,IF(Ruimtestaat!#REF!&gt;0,1,0))</f>
        <v>0</v>
      </c>
      <c r="BB17" s="4">
        <f>IF(ISERROR(Ruimtestaat!#REF!),0,IF(Ruimtestaat!#REF!&gt;0,1,0))</f>
        <v>0</v>
      </c>
      <c r="BC17" s="4">
        <f>IF(ISERROR(Ruimtestaat!E17),0,IF(Ruimtestaat!E17&gt;0,1,0))</f>
        <v>0</v>
      </c>
      <c r="BD17" s="4">
        <f>IF(ISERROR(Ruimtestaat!F17),0,IF(Ruimtestaat!F17&gt;0,1,0))</f>
        <v>1</v>
      </c>
      <c r="BE17" s="4">
        <f>IF(ISERROR(Ruimtestaat!G17),0,IF(Ruimtestaat!G17&gt;0,1,0))</f>
        <v>1</v>
      </c>
      <c r="BF17" s="4">
        <f>IF(ISERROR(Ruimtestaat!#REF!),0,IF(Ruimtestaat!#REF!&gt;0,1,0))</f>
        <v>0</v>
      </c>
      <c r="BG17" s="4">
        <f>IF(ISERROR(Ruimtestaat!H17),0,IF(Ruimtestaat!H17&gt;0,1,0))</f>
        <v>1</v>
      </c>
      <c r="BH17" s="4">
        <f>IF(ISERROR(Ruimtestaat!#REF!),0,IF(Ruimtestaat!#REF!&gt;0,1,0))</f>
        <v>0</v>
      </c>
      <c r="BI17" s="4">
        <f>IF(ISERROR(Ruimtestaat!#REF!),0,IF(Ruimtestaat!#REF!&gt;0,1,0))</f>
        <v>0</v>
      </c>
    </row>
    <row r="18" spans="2:61" x14ac:dyDescent="0.15">
      <c r="B18" s="137" t="s">
        <v>112</v>
      </c>
      <c r="C18" s="123">
        <v>52</v>
      </c>
      <c r="D18" s="155">
        <f>Normenblad!BQ18*offerteuur</f>
        <v>0</v>
      </c>
      <c r="E18" s="155">
        <f>Normenblad!BR18*offerteuur</f>
        <v>0</v>
      </c>
      <c r="F18" s="155">
        <f>Normenblad!BS18*offerteuur</f>
        <v>0</v>
      </c>
      <c r="G18" s="155">
        <f>Normenblad!BT18*offerteuur</f>
        <v>0</v>
      </c>
      <c r="H18" s="155">
        <f>Normenblad!BU18*offerteuur</f>
        <v>0</v>
      </c>
      <c r="I18" s="156">
        <f>Normenblad!BV18*offerteuur</f>
        <v>0</v>
      </c>
      <c r="J18" s="160">
        <f t="shared" si="0"/>
        <v>0</v>
      </c>
      <c r="AS18" s="110" t="s">
        <v>112</v>
      </c>
      <c r="AT18" s="4">
        <f t="shared" si="1"/>
        <v>1</v>
      </c>
      <c r="AW18" s="4">
        <f>IF(ISERROR(Ruimtestaat!#REF!),0,IF(Ruimtestaat!#REF!&gt;0,1,0))</f>
        <v>0</v>
      </c>
      <c r="AX18" s="4">
        <f>IF(ISERROR(Ruimtestaat!#REF!),0,IF(Ruimtestaat!#REF!&gt;0,1,0))</f>
        <v>0</v>
      </c>
      <c r="AY18" s="4">
        <f>IF(ISERROR(Ruimtestaat!D18),0,IF(Ruimtestaat!D18&gt;0,1,0))</f>
        <v>1</v>
      </c>
      <c r="AZ18" s="4">
        <f>IF(ISERROR(Ruimtestaat!#REF!),0,IF(Ruimtestaat!#REF!&gt;0,1,0))</f>
        <v>0</v>
      </c>
      <c r="BA18" s="4">
        <f>IF(ISERROR(Ruimtestaat!#REF!),0,IF(Ruimtestaat!#REF!&gt;0,1,0))</f>
        <v>0</v>
      </c>
      <c r="BB18" s="4">
        <f>IF(ISERROR(Ruimtestaat!#REF!),0,IF(Ruimtestaat!#REF!&gt;0,1,0))</f>
        <v>0</v>
      </c>
      <c r="BC18" s="4">
        <f>IF(ISERROR(Ruimtestaat!E18),0,IF(Ruimtestaat!E18&gt;0,1,0))</f>
        <v>0</v>
      </c>
      <c r="BD18" s="4">
        <f>IF(ISERROR(Ruimtestaat!F18),0,IF(Ruimtestaat!F18&gt;0,1,0))</f>
        <v>1</v>
      </c>
      <c r="BE18" s="4">
        <f>IF(ISERROR(Ruimtestaat!G18),0,IF(Ruimtestaat!G18&gt;0,1,0))</f>
        <v>1</v>
      </c>
      <c r="BF18" s="4">
        <f>IF(ISERROR(Ruimtestaat!#REF!),0,IF(Ruimtestaat!#REF!&gt;0,1,0))</f>
        <v>0</v>
      </c>
      <c r="BG18" s="4">
        <f>IF(ISERROR(Ruimtestaat!H18),0,IF(Ruimtestaat!H18&gt;0,1,0))</f>
        <v>1</v>
      </c>
      <c r="BH18" s="4">
        <f>IF(ISERROR(Ruimtestaat!#REF!),0,IF(Ruimtestaat!#REF!&gt;0,1,0))</f>
        <v>0</v>
      </c>
      <c r="BI18" s="4">
        <f>IF(ISERROR(Ruimtestaat!#REF!),0,IF(Ruimtestaat!#REF!&gt;0,1,0))</f>
        <v>0</v>
      </c>
    </row>
    <row r="19" spans="2:61" x14ac:dyDescent="0.15">
      <c r="B19" s="137" t="s">
        <v>178</v>
      </c>
      <c r="C19" s="123">
        <v>26</v>
      </c>
      <c r="D19" s="155">
        <f>Normenblad!BQ19*offerteuur</f>
        <v>0</v>
      </c>
      <c r="E19" s="155">
        <f>Normenblad!BR19*offerteuur</f>
        <v>0</v>
      </c>
      <c r="F19" s="155">
        <f>Normenblad!BS19*offerteuur</f>
        <v>0</v>
      </c>
      <c r="G19" s="155">
        <f>Normenblad!BT19*offerteuur</f>
        <v>0</v>
      </c>
      <c r="H19" s="155">
        <f>Normenblad!BU19*offerteuur</f>
        <v>0</v>
      </c>
      <c r="I19" s="156">
        <f>Normenblad!BV19*offerteuur</f>
        <v>0</v>
      </c>
      <c r="J19" s="160">
        <f t="shared" si="0"/>
        <v>0</v>
      </c>
      <c r="AS19" s="110" t="s">
        <v>178</v>
      </c>
      <c r="AT19" s="4">
        <f t="shared" si="1"/>
        <v>1</v>
      </c>
      <c r="AW19" s="4">
        <f>IF(ISERROR(Ruimtestaat!#REF!),0,IF(Ruimtestaat!#REF!&gt;0,1,0))</f>
        <v>0</v>
      </c>
      <c r="AX19" s="4">
        <f>IF(ISERROR(Ruimtestaat!#REF!),0,IF(Ruimtestaat!#REF!&gt;0,1,0))</f>
        <v>0</v>
      </c>
      <c r="AY19" s="4">
        <f>IF(ISERROR(Ruimtestaat!D19),0,IF(Ruimtestaat!D19&gt;0,1,0))</f>
        <v>1</v>
      </c>
      <c r="AZ19" s="4">
        <f>IF(ISERROR(Ruimtestaat!#REF!),0,IF(Ruimtestaat!#REF!&gt;0,1,0))</f>
        <v>0</v>
      </c>
      <c r="BA19" s="4">
        <f>IF(ISERROR(Ruimtestaat!#REF!),0,IF(Ruimtestaat!#REF!&gt;0,1,0))</f>
        <v>0</v>
      </c>
      <c r="BB19" s="4">
        <f>IF(ISERROR(Ruimtestaat!#REF!),0,IF(Ruimtestaat!#REF!&gt;0,1,0))</f>
        <v>0</v>
      </c>
      <c r="BC19" s="4">
        <f>IF(ISERROR(Ruimtestaat!E19),0,IF(Ruimtestaat!E19&gt;0,1,0))</f>
        <v>0</v>
      </c>
      <c r="BD19" s="4">
        <f>IF(ISERROR(Ruimtestaat!F19),0,IF(Ruimtestaat!F19&gt;0,1,0))</f>
        <v>0</v>
      </c>
      <c r="BE19" s="4">
        <f>IF(ISERROR(Ruimtestaat!G19),0,IF(Ruimtestaat!G19&gt;0,1,0))</f>
        <v>1</v>
      </c>
      <c r="BF19" s="4">
        <f>IF(ISERROR(Ruimtestaat!#REF!),0,IF(Ruimtestaat!#REF!&gt;0,1,0))</f>
        <v>0</v>
      </c>
      <c r="BG19" s="4">
        <f>IF(ISERROR(Ruimtestaat!H19),0,IF(Ruimtestaat!H19&gt;0,1,0))</f>
        <v>1</v>
      </c>
      <c r="BH19" s="4">
        <f>IF(ISERROR(Ruimtestaat!#REF!),0,IF(Ruimtestaat!#REF!&gt;0,1,0))</f>
        <v>0</v>
      </c>
      <c r="BI19" s="4">
        <f>IF(ISERROR(Ruimtestaat!#REF!),0,IF(Ruimtestaat!#REF!&gt;0,1,0))</f>
        <v>0</v>
      </c>
    </row>
    <row r="20" spans="2:61" x14ac:dyDescent="0.15">
      <c r="B20" s="137" t="s">
        <v>103</v>
      </c>
      <c r="C20" s="123">
        <v>26</v>
      </c>
      <c r="D20" s="155">
        <f>Normenblad!BQ20*offerteuur</f>
        <v>0</v>
      </c>
      <c r="E20" s="155">
        <f>Normenblad!BR20*offerteuur</f>
        <v>0</v>
      </c>
      <c r="F20" s="155">
        <f>Normenblad!BS20*offerteuur</f>
        <v>0</v>
      </c>
      <c r="G20" s="155">
        <f>Normenblad!BT20*offerteuur</f>
        <v>0</v>
      </c>
      <c r="H20" s="155">
        <f>Normenblad!BU20*offerteuur</f>
        <v>0</v>
      </c>
      <c r="I20" s="156">
        <f>Normenblad!BV20*offerteuur</f>
        <v>0</v>
      </c>
      <c r="J20" s="160">
        <f t="shared" si="0"/>
        <v>0</v>
      </c>
      <c r="AS20" s="110" t="s">
        <v>103</v>
      </c>
      <c r="AT20" s="4">
        <f t="shared" si="1"/>
        <v>1</v>
      </c>
      <c r="AW20" s="4">
        <f>IF(ISERROR(Ruimtestaat!#REF!),0,IF(Ruimtestaat!#REF!&gt;0,1,0))</f>
        <v>0</v>
      </c>
      <c r="AX20" s="4">
        <f>IF(ISERROR(Ruimtestaat!#REF!),0,IF(Ruimtestaat!#REF!&gt;0,1,0))</f>
        <v>0</v>
      </c>
      <c r="AY20" s="4">
        <f>IF(ISERROR(Ruimtestaat!D20),0,IF(Ruimtestaat!D20&gt;0,1,0))</f>
        <v>1</v>
      </c>
      <c r="AZ20" s="4">
        <f>IF(ISERROR(Ruimtestaat!#REF!),0,IF(Ruimtestaat!#REF!&gt;0,1,0))</f>
        <v>0</v>
      </c>
      <c r="BA20" s="4">
        <f>IF(ISERROR(Ruimtestaat!#REF!),0,IF(Ruimtestaat!#REF!&gt;0,1,0))</f>
        <v>0</v>
      </c>
      <c r="BB20" s="4">
        <f>IF(ISERROR(Ruimtestaat!#REF!),0,IF(Ruimtestaat!#REF!&gt;0,1,0))</f>
        <v>0</v>
      </c>
      <c r="BC20" s="4">
        <f>IF(ISERROR(Ruimtestaat!E20),0,IF(Ruimtestaat!E20&gt;0,1,0))</f>
        <v>0</v>
      </c>
      <c r="BD20" s="4">
        <f>IF(ISERROR(Ruimtestaat!F20),0,IF(Ruimtestaat!F20&gt;0,1,0))</f>
        <v>1</v>
      </c>
      <c r="BE20" s="4">
        <f>IF(ISERROR(Ruimtestaat!G20),0,IF(Ruimtestaat!G20&gt;0,1,0))</f>
        <v>1</v>
      </c>
      <c r="BF20" s="4">
        <f>IF(ISERROR(Ruimtestaat!#REF!),0,IF(Ruimtestaat!#REF!&gt;0,1,0))</f>
        <v>0</v>
      </c>
      <c r="BG20" s="4">
        <f>IF(ISERROR(Ruimtestaat!H20),0,IF(Ruimtestaat!H20&gt;0,1,0))</f>
        <v>1</v>
      </c>
      <c r="BH20" s="4">
        <f>IF(ISERROR(Ruimtestaat!#REF!),0,IF(Ruimtestaat!#REF!&gt;0,1,0))</f>
        <v>0</v>
      </c>
      <c r="BI20" s="4">
        <f>IF(ISERROR(Ruimtestaat!#REF!),0,IF(Ruimtestaat!#REF!&gt;0,1,0))</f>
        <v>0</v>
      </c>
    </row>
    <row r="21" spans="2:61" ht="13.5" thickBot="1" x14ac:dyDescent="0.2">
      <c r="B21" s="138" t="s">
        <v>121</v>
      </c>
      <c r="C21" s="124">
        <v>104</v>
      </c>
      <c r="D21" s="157">
        <f>Normenblad!BQ21*offerteuur</f>
        <v>0</v>
      </c>
      <c r="E21" s="157">
        <f>Normenblad!BR21*offerteuur</f>
        <v>0</v>
      </c>
      <c r="F21" s="157">
        <f>Normenblad!BS21*offerteuur</f>
        <v>0</v>
      </c>
      <c r="G21" s="157">
        <f>Normenblad!BT21*offerteuur</f>
        <v>0</v>
      </c>
      <c r="H21" s="157">
        <f>Normenblad!BU21*offerteuur</f>
        <v>0</v>
      </c>
      <c r="I21" s="158">
        <f>Normenblad!BV21*offerteuur</f>
        <v>0</v>
      </c>
      <c r="J21" s="161">
        <f t="shared" si="0"/>
        <v>0</v>
      </c>
      <c r="AS21" s="110" t="s">
        <v>121</v>
      </c>
      <c r="AT21" s="4">
        <f t="shared" si="1"/>
        <v>1</v>
      </c>
      <c r="AW21" s="4">
        <f>IF(ISERROR(Ruimtestaat!#REF!),0,IF(Ruimtestaat!#REF!&gt;0,1,0))</f>
        <v>0</v>
      </c>
      <c r="AX21" s="4">
        <f>IF(ISERROR(Ruimtestaat!#REF!),0,IF(Ruimtestaat!#REF!&gt;0,1,0))</f>
        <v>0</v>
      </c>
      <c r="AY21" s="4">
        <f>IF(ISERROR(Ruimtestaat!D21),0,IF(Ruimtestaat!D21&gt;0,1,0))</f>
        <v>1</v>
      </c>
      <c r="AZ21" s="4">
        <f>IF(ISERROR(Ruimtestaat!#REF!),0,IF(Ruimtestaat!#REF!&gt;0,1,0))</f>
        <v>0</v>
      </c>
      <c r="BA21" s="4">
        <f>IF(ISERROR(Ruimtestaat!#REF!),0,IF(Ruimtestaat!#REF!&gt;0,1,0))</f>
        <v>0</v>
      </c>
      <c r="BB21" s="4">
        <f>IF(ISERROR(Ruimtestaat!#REF!),0,IF(Ruimtestaat!#REF!&gt;0,1,0))</f>
        <v>0</v>
      </c>
      <c r="BC21" s="4">
        <f>IF(ISERROR(Ruimtestaat!E21),0,IF(Ruimtestaat!E21&gt;0,1,0))</f>
        <v>0</v>
      </c>
      <c r="BD21" s="4">
        <f>IF(ISERROR(Ruimtestaat!F21),0,IF(Ruimtestaat!F21&gt;0,1,0))</f>
        <v>1</v>
      </c>
      <c r="BE21" s="4">
        <f>IF(ISERROR(Ruimtestaat!G21),0,IF(Ruimtestaat!G21&gt;0,1,0))</f>
        <v>1</v>
      </c>
      <c r="BF21" s="4">
        <f>IF(ISERROR(Ruimtestaat!#REF!),0,IF(Ruimtestaat!#REF!&gt;0,1,0))</f>
        <v>0</v>
      </c>
      <c r="BG21" s="4">
        <f>IF(ISERROR(Ruimtestaat!H21),0,IF(Ruimtestaat!H21&gt;0,1,0))</f>
        <v>1</v>
      </c>
      <c r="BH21" s="4">
        <f>IF(ISERROR(Ruimtestaat!#REF!),0,IF(Ruimtestaat!#REF!&gt;0,1,0))</f>
        <v>0</v>
      </c>
      <c r="BI21" s="4">
        <f>IF(ISERROR(Ruimtestaat!#REF!),0,IF(Ruimtestaat!#REF!&gt;0,1,0))</f>
        <v>0</v>
      </c>
    </row>
    <row r="22" spans="2:61" ht="13.5" thickBot="1" x14ac:dyDescent="0.25">
      <c r="B22" s="165" t="s">
        <v>54</v>
      </c>
      <c r="C22" s="166"/>
      <c r="D22" s="163">
        <f>SUM(D$6:D21)</f>
        <v>0</v>
      </c>
      <c r="E22" s="163">
        <f>SUM(E$6:E21)</f>
        <v>0</v>
      </c>
      <c r="F22" s="163">
        <f>SUM(F$6:F21)</f>
        <v>0</v>
      </c>
      <c r="G22" s="163">
        <f>SUM(G$6:G21)</f>
        <v>0</v>
      </c>
      <c r="H22" s="163">
        <f>SUM(H$6:H21)</f>
        <v>0</v>
      </c>
      <c r="I22" s="164">
        <f>SUM(I$6:I21)</f>
        <v>0</v>
      </c>
      <c r="J22" s="162">
        <f>SUM(J$6:J21)</f>
        <v>0</v>
      </c>
    </row>
    <row r="23" spans="2:61" ht="6.95" customHeight="1" x14ac:dyDescent="0.2"/>
  </sheetData>
  <sheetProtection algorithmName="SHA-512" hashValue="YYT5OQ1/IiqP7C4zMQjJS+Xr4TH4Ytke1pEtVfaaU9ZVGZuRgzfMoPaBYmz5GsjvEoKuNaGpyOGC08usWIHVrw==" saltValue="gg7X/I7zz5/dnqEm9FXExQ==" spinCount="100000" sheet="1" objects="1" scenarios="1"/>
  <mergeCells count="3">
    <mergeCell ref="B2:J2"/>
    <mergeCell ref="B3:J3"/>
    <mergeCell ref="B5:J5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>
    <oddHeader>&amp;C&amp;F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5000C0538264982609741D21873C6" ma:contentTypeVersion="10" ma:contentTypeDescription="Een nieuw document maken." ma:contentTypeScope="" ma:versionID="e075f67ee3aee4c4ba8fb099af39dc4c">
  <xsd:schema xmlns:xsd="http://www.w3.org/2001/XMLSchema" xmlns:xs="http://www.w3.org/2001/XMLSchema" xmlns:p="http://schemas.microsoft.com/office/2006/metadata/properties" xmlns:ns2="b0cacc2f-2786-4339-a5a2-1b9b5a34f65c" xmlns:ns3="69cab178-a625-4c76-9ca1-2ca1942520d1" targetNamespace="http://schemas.microsoft.com/office/2006/metadata/properties" ma:root="true" ma:fieldsID="e96a5e15688f42b8cf29d8a5f4cd279e" ns2:_="" ns3:_="">
    <xsd:import namespace="b0cacc2f-2786-4339-a5a2-1b9b5a34f65c"/>
    <xsd:import namespace="69cab178-a625-4c76-9ca1-2ca194252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acc2f-2786-4339-a5a2-1b9b5a34f6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ab178-a625-4c76-9ca1-2ca194252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7A1FD5-C10B-4158-9985-FB7BD8D33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acc2f-2786-4339-a5a2-1b9b5a34f65c"/>
    <ds:schemaRef ds:uri="69cab178-a625-4c76-9ca1-2ca194252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7FFC91-D78F-45FE-8BE8-CE302780A7E4}">
  <ds:schemaRefs>
    <ds:schemaRef ds:uri="http://schemas.microsoft.com/office/2006/metadata/properties"/>
    <ds:schemaRef ds:uri="http://purl.org/dc/elements/1.1/"/>
    <ds:schemaRef ds:uri="b0cacc2f-2786-4339-a5a2-1b9b5a34f65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9cab178-a625-4c76-9ca1-2ca1942520d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405A548-739D-4CED-A4F4-6F51177FFD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Inventarisatiestaat</vt:lpstr>
      <vt:lpstr>Controlegegevens SMC</vt:lpstr>
      <vt:lpstr>Ruimtestaat</vt:lpstr>
      <vt:lpstr>Normenblad</vt:lpstr>
      <vt:lpstr>Offerte uurtarief</vt:lpstr>
      <vt:lpstr>Kostenblad</vt:lpstr>
      <vt:lpstr>offerteuur</vt:lpstr>
      <vt:lpstr>offerteuurolga</vt:lpstr>
      <vt:lpstr>totkol</vt:lpstr>
      <vt:lpstr>tUren</vt:lpstr>
      <vt:lpstr>tUrenOlga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Eizenga</dc:creator>
  <cp:lastModifiedBy>Aukje Tol</cp:lastModifiedBy>
  <cp:lastPrinted>2014-09-10T05:32:22Z</cp:lastPrinted>
  <dcterms:created xsi:type="dcterms:W3CDTF">2014-08-29T14:37:15Z</dcterms:created>
  <dcterms:modified xsi:type="dcterms:W3CDTF">2023-07-07T13:21:08Z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0x0101000225000C0538264982609741D21873C6</vt:lpwstr>
  </property>
</Properties>
</file>