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fileSharing readOnlyRecommended="1"/>
  <workbookPr/>
  <mc:AlternateContent xmlns:mc="http://schemas.openxmlformats.org/markup-compatibility/2006">
    <mc:Choice Requires="x15">
      <x15ac:absPath xmlns:x15ac="http://schemas.microsoft.com/office/spreadsheetml/2010/11/ac" url="C:\Users\m.vandijken\Desktop\gemeente Sliedrecht\"/>
    </mc:Choice>
  </mc:AlternateContent>
  <xr:revisionPtr revIDLastSave="0" documentId="8_{172599F5-D728-4CCE-AC2B-59B8F51384CE}" xr6:coauthVersionLast="47" xr6:coauthVersionMax="47" xr10:uidLastSave="{00000000-0000-0000-0000-000000000000}"/>
  <bookViews>
    <workbookView xWindow="-108" yWindow="-108" windowWidth="23256" windowHeight="12456" tabRatio="946" firstSheet="1" activeTab="7"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Vloeronderhoud" sheetId="39" r:id="rId11"/>
  </sheets>
  <externalReferences>
    <externalReference r:id="rId12"/>
    <externalReference r:id="rId13"/>
    <externalReference r:id="rId14"/>
    <externalReference r:id="rId15"/>
    <externalReference r:id="rId16"/>
    <externalReference r:id="rId17"/>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'[2]#REF'!#REF!</definedName>
    <definedName name="_Fill" localSheetId="1" hidden="1">'[3]#REF'!#REF!</definedName>
    <definedName name="_Fill" hidden="1">'[3]#REF'!#REF!</definedName>
    <definedName name="_filll" hidden="1">'[4]#REF'!#REF!</definedName>
    <definedName name="_xlnm._FilterDatabase" localSheetId="9" hidden="1">'10-Glasbewassing'!$A$12:$X$45</definedName>
    <definedName name="_xlnm._FilterDatabase" localSheetId="10" hidden="1">'11-Vloeronderhoud'!$A$12:$X$17</definedName>
    <definedName name="_xlnm._FilterDatabase" localSheetId="1" hidden="1">'2-Kosten per locatie'!$A$14:$J$27</definedName>
    <definedName name="_xlnm._FilterDatabase" localSheetId="3" hidden="1">'4-Basis ruimtestaat'!$B$9:$P$242</definedName>
    <definedName name="_Hlk39130726" localSheetId="0">'1-Uitgangspunten'!$A$16</definedName>
    <definedName name="_Key1" localSheetId="9" hidden="1">'[2]#REF'!#REF!</definedName>
    <definedName name="_Key1" localSheetId="10"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locatie'!$A$3:$AB$26</definedName>
    <definedName name="_xlnm.Print_Area" localSheetId="3">'4-Basis ruimtestaat'!$B$3:$P$194</definedName>
    <definedName name="_xlnm.Print_Area" localSheetId="4">'5-Premies en opslagen'!$A$3:$E$55</definedName>
    <definedName name="_xlnm.Print_Area" localSheetId="5">'6-Opbouw uurtarief productie'!$A$1:$O$63</definedName>
    <definedName name="_xlnm.Print_Area" localSheetId="8">'9-Afroepprijs'!$A$3:$F$47</definedName>
    <definedName name="_xlnm.Print_Titles" localSheetId="9">'10-Glasbewassing'!$12:$12</definedName>
    <definedName name="_xlnm.Print_Titles" localSheetId="10">'11-Vloeronderhoud'!$12:$12</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0"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31" l="1"/>
  <c r="G13" i="31"/>
  <c r="F13" i="31"/>
  <c r="F14" i="31"/>
  <c r="P6" i="37"/>
  <c r="E24" i="37"/>
  <c r="H13" i="31" l="1"/>
  <c r="H14" i="31"/>
  <c r="A195" i="2"/>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J195" i="2"/>
  <c r="P195" i="2" s="1"/>
  <c r="M195" i="2"/>
  <c r="L195" i="2" s="1"/>
  <c r="J196" i="2"/>
  <c r="P196" i="2" s="1"/>
  <c r="M196" i="2"/>
  <c r="L196" i="2" s="1"/>
  <c r="J197" i="2"/>
  <c r="P197" i="2" s="1"/>
  <c r="M197" i="2"/>
  <c r="L197" i="2" s="1"/>
  <c r="J198" i="2"/>
  <c r="P198" i="2" s="1"/>
  <c r="M198" i="2"/>
  <c r="L198" i="2" s="1"/>
  <c r="J199" i="2"/>
  <c r="P199" i="2" s="1"/>
  <c r="M199" i="2"/>
  <c r="L199" i="2" s="1"/>
  <c r="J200" i="2"/>
  <c r="P200" i="2" s="1"/>
  <c r="M200" i="2"/>
  <c r="L200" i="2" s="1"/>
  <c r="J201" i="2"/>
  <c r="P201" i="2" s="1"/>
  <c r="M201" i="2"/>
  <c r="L201" i="2" s="1"/>
  <c r="J202" i="2"/>
  <c r="P202" i="2" s="1"/>
  <c r="M202" i="2"/>
  <c r="L202" i="2" s="1"/>
  <c r="J203" i="2"/>
  <c r="P203" i="2" s="1"/>
  <c r="M203" i="2"/>
  <c r="L203" i="2" s="1"/>
  <c r="J204" i="2"/>
  <c r="P204" i="2" s="1"/>
  <c r="M204" i="2"/>
  <c r="L204" i="2" s="1"/>
  <c r="J205" i="2"/>
  <c r="P205" i="2" s="1"/>
  <c r="M205" i="2"/>
  <c r="L205" i="2" s="1"/>
  <c r="J206" i="2"/>
  <c r="P206" i="2" s="1"/>
  <c r="M206" i="2"/>
  <c r="L206" i="2" s="1"/>
  <c r="J207" i="2"/>
  <c r="P207" i="2" s="1"/>
  <c r="M207" i="2"/>
  <c r="L207" i="2" s="1"/>
  <c r="J208" i="2"/>
  <c r="P208" i="2" s="1"/>
  <c r="M208" i="2"/>
  <c r="L208" i="2" s="1"/>
  <c r="J209" i="2"/>
  <c r="P209" i="2" s="1"/>
  <c r="M209" i="2"/>
  <c r="L209" i="2" s="1"/>
  <c r="J210" i="2"/>
  <c r="P210" i="2" s="1"/>
  <c r="M210" i="2"/>
  <c r="L210" i="2" s="1"/>
  <c r="J211" i="2"/>
  <c r="P211" i="2" s="1"/>
  <c r="M211" i="2"/>
  <c r="L211" i="2" s="1"/>
  <c r="J212" i="2"/>
  <c r="P212" i="2" s="1"/>
  <c r="M212" i="2"/>
  <c r="L212" i="2" s="1"/>
  <c r="J213" i="2"/>
  <c r="P213" i="2" s="1"/>
  <c r="M213" i="2"/>
  <c r="L213" i="2" s="1"/>
  <c r="J214" i="2"/>
  <c r="P214" i="2" s="1"/>
  <c r="M214" i="2"/>
  <c r="L214" i="2" s="1"/>
  <c r="J215" i="2"/>
  <c r="P215" i="2" s="1"/>
  <c r="M215" i="2"/>
  <c r="L215" i="2" s="1"/>
  <c r="J216" i="2"/>
  <c r="P216" i="2" s="1"/>
  <c r="M216" i="2"/>
  <c r="L216" i="2" s="1"/>
  <c r="J217" i="2"/>
  <c r="P217" i="2" s="1"/>
  <c r="M217" i="2"/>
  <c r="L217" i="2" s="1"/>
  <c r="J218" i="2"/>
  <c r="P218" i="2" s="1"/>
  <c r="M218" i="2"/>
  <c r="L218" i="2" s="1"/>
  <c r="J219" i="2"/>
  <c r="P219" i="2" s="1"/>
  <c r="M219" i="2"/>
  <c r="L219" i="2" s="1"/>
  <c r="J220" i="2"/>
  <c r="P220" i="2" s="1"/>
  <c r="M220" i="2"/>
  <c r="L220" i="2" s="1"/>
  <c r="J221" i="2"/>
  <c r="P221" i="2" s="1"/>
  <c r="M221" i="2"/>
  <c r="L221" i="2" s="1"/>
  <c r="J222" i="2"/>
  <c r="P222" i="2" s="1"/>
  <c r="M222" i="2"/>
  <c r="L222" i="2" s="1"/>
  <c r="J223" i="2"/>
  <c r="P223" i="2" s="1"/>
  <c r="M223" i="2"/>
  <c r="L223" i="2" s="1"/>
  <c r="J224" i="2"/>
  <c r="P224" i="2" s="1"/>
  <c r="M224" i="2"/>
  <c r="L224" i="2" s="1"/>
  <c r="J225" i="2"/>
  <c r="P225" i="2" s="1"/>
  <c r="M225" i="2"/>
  <c r="L225" i="2" s="1"/>
  <c r="J226" i="2"/>
  <c r="P226" i="2" s="1"/>
  <c r="M226" i="2"/>
  <c r="L226" i="2" s="1"/>
  <c r="J227" i="2"/>
  <c r="P227" i="2" s="1"/>
  <c r="M227" i="2"/>
  <c r="L227" i="2" s="1"/>
  <c r="J228" i="2"/>
  <c r="P228" i="2" s="1"/>
  <c r="M228" i="2"/>
  <c r="L228" i="2" s="1"/>
  <c r="J229" i="2"/>
  <c r="P229" i="2" s="1"/>
  <c r="M229" i="2"/>
  <c r="L229" i="2" s="1"/>
  <c r="J230" i="2"/>
  <c r="P230" i="2" s="1"/>
  <c r="M230" i="2"/>
  <c r="L230" i="2" s="1"/>
  <c r="J231" i="2"/>
  <c r="P231" i="2" s="1"/>
  <c r="M231" i="2"/>
  <c r="L231" i="2" s="1"/>
  <c r="J232" i="2"/>
  <c r="P232" i="2" s="1"/>
  <c r="M232" i="2"/>
  <c r="L232" i="2" s="1"/>
  <c r="J233" i="2"/>
  <c r="P233" i="2" s="1"/>
  <c r="M233" i="2"/>
  <c r="L233" i="2" s="1"/>
  <c r="J234" i="2"/>
  <c r="P234" i="2" s="1"/>
  <c r="M234" i="2"/>
  <c r="L234" i="2" s="1"/>
  <c r="J235" i="2"/>
  <c r="P235" i="2" s="1"/>
  <c r="M235" i="2"/>
  <c r="L235" i="2" s="1"/>
  <c r="J236" i="2"/>
  <c r="P236" i="2" s="1"/>
  <c r="M236" i="2"/>
  <c r="L236" i="2" s="1"/>
  <c r="J237" i="2"/>
  <c r="P237" i="2" s="1"/>
  <c r="M237" i="2"/>
  <c r="L237" i="2" s="1"/>
  <c r="J238" i="2"/>
  <c r="P238" i="2" s="1"/>
  <c r="M238" i="2"/>
  <c r="L238" i="2" s="1"/>
  <c r="J239" i="2"/>
  <c r="P239" i="2" s="1"/>
  <c r="M239" i="2"/>
  <c r="L239" i="2" s="1"/>
  <c r="J240" i="2"/>
  <c r="P240" i="2" s="1"/>
  <c r="M240" i="2"/>
  <c r="L240" i="2" s="1"/>
  <c r="J241" i="2"/>
  <c r="P241" i="2" s="1"/>
  <c r="M241" i="2"/>
  <c r="L241" i="2" s="1"/>
  <c r="J242" i="2"/>
  <c r="P242" i="2" s="1"/>
  <c r="M242" i="2"/>
  <c r="L242" i="2" s="1"/>
  <c r="E25" i="37" l="1"/>
  <c r="A29" i="37"/>
  <c r="A30" i="37"/>
  <c r="A31" i="37"/>
  <c r="A32" i="37"/>
  <c r="A33" i="37"/>
  <c r="A34" i="37"/>
  <c r="A35" i="37"/>
  <c r="A36" i="37"/>
  <c r="A37" i="37"/>
  <c r="A38" i="37"/>
  <c r="A39" i="37"/>
  <c r="E15" i="39"/>
  <c r="F15" i="39" s="1"/>
  <c r="H15" i="39" s="1"/>
  <c r="E14" i="39"/>
  <c r="F14" i="39" s="1"/>
  <c r="H14" i="39" s="1"/>
  <c r="J85" i="2" l="1"/>
  <c r="J10" i="28"/>
  <c r="E16" i="35"/>
  <c r="F16" i="35" s="1"/>
  <c r="H16" i="35" s="1"/>
  <c r="E17" i="35"/>
  <c r="F17" i="35" s="1"/>
  <c r="H17" i="35" s="1"/>
  <c r="E18" i="35"/>
  <c r="F18" i="35" s="1"/>
  <c r="H18" i="35" s="1"/>
  <c r="E19" i="35"/>
  <c r="F19" i="35" s="1"/>
  <c r="H19" i="35" s="1"/>
  <c r="E20" i="35"/>
  <c r="F20" i="35" s="1"/>
  <c r="H20" i="35" s="1"/>
  <c r="E21" i="35"/>
  <c r="F21" i="35" s="1"/>
  <c r="H21" i="35" s="1"/>
  <c r="E22" i="35"/>
  <c r="F22" i="35" s="1"/>
  <c r="H22" i="35" s="1"/>
  <c r="E23" i="35"/>
  <c r="F23" i="35" s="1"/>
  <c r="H23" i="35" s="1"/>
  <c r="E24" i="35"/>
  <c r="F24" i="35" s="1"/>
  <c r="H24" i="35" s="1"/>
  <c r="E25" i="35"/>
  <c r="F25" i="35" s="1"/>
  <c r="H25" i="35" s="1"/>
  <c r="E26" i="35"/>
  <c r="F26" i="35" s="1"/>
  <c r="H26" i="35" s="1"/>
  <c r="E27" i="35"/>
  <c r="F27" i="35" s="1"/>
  <c r="H27" i="35" s="1"/>
  <c r="E28" i="35"/>
  <c r="F28" i="35" s="1"/>
  <c r="H28" i="35" s="1"/>
  <c r="E29" i="35"/>
  <c r="F29" i="35" s="1"/>
  <c r="H29" i="35" s="1"/>
  <c r="E30" i="35"/>
  <c r="F30" i="35" s="1"/>
  <c r="H30" i="35" s="1"/>
  <c r="E31" i="35"/>
  <c r="F31" i="35" s="1"/>
  <c r="H31" i="35" s="1"/>
  <c r="E32" i="35"/>
  <c r="F32" i="35" s="1"/>
  <c r="H32" i="35" s="1"/>
  <c r="E33" i="35"/>
  <c r="F33" i="35" s="1"/>
  <c r="H33" i="35" s="1"/>
  <c r="E34" i="35"/>
  <c r="F34" i="35" s="1"/>
  <c r="H34" i="35" s="1"/>
  <c r="E35" i="35"/>
  <c r="F35" i="35" s="1"/>
  <c r="H35" i="35" s="1"/>
  <c r="E36" i="35"/>
  <c r="F36" i="35" s="1"/>
  <c r="H36" i="35" s="1"/>
  <c r="E37" i="35"/>
  <c r="F37" i="35" s="1"/>
  <c r="H37" i="35" s="1"/>
  <c r="E38" i="35"/>
  <c r="F38" i="35" s="1"/>
  <c r="H38" i="35" s="1"/>
  <c r="E39" i="35"/>
  <c r="F39" i="35" s="1"/>
  <c r="H39" i="35" s="1"/>
  <c r="E40" i="35"/>
  <c r="F40" i="35" s="1"/>
  <c r="H40" i="35" s="1"/>
  <c r="E41" i="35"/>
  <c r="F41" i="35" s="1"/>
  <c r="H41" i="35" s="1"/>
  <c r="E42" i="35"/>
  <c r="F42" i="35" s="1"/>
  <c r="H42" i="35" s="1"/>
  <c r="E15" i="35"/>
  <c r="A16" i="35"/>
  <c r="A15" i="35"/>
  <c r="A14" i="35"/>
  <c r="A13" i="35"/>
  <c r="B4" i="41"/>
  <c r="B3" i="41"/>
  <c r="M30" i="2" l="1"/>
  <c r="M34" i="2"/>
  <c r="M48" i="2"/>
  <c r="M49" i="2"/>
  <c r="M53" i="2"/>
  <c r="M55" i="2"/>
  <c r="M67" i="2"/>
  <c r="M76" i="2"/>
  <c r="M115" i="2"/>
  <c r="M118" i="2"/>
  <c r="M119" i="2"/>
  <c r="M171" i="2"/>
  <c r="M172" i="2"/>
  <c r="M186" i="2"/>
  <c r="M187" i="2"/>
  <c r="M188" i="2"/>
  <c r="M189" i="2"/>
  <c r="B1" i="41" l="1"/>
  <c r="B2" i="41"/>
  <c r="L30" i="2"/>
  <c r="L34" i="2"/>
  <c r="L48" i="2"/>
  <c r="L49" i="2"/>
  <c r="L53" i="2"/>
  <c r="L55" i="2"/>
  <c r="L67" i="2"/>
  <c r="L76" i="2"/>
  <c r="L115" i="2"/>
  <c r="L118" i="2"/>
  <c r="L119" i="2"/>
  <c r="L171" i="2"/>
  <c r="L172" i="2"/>
  <c r="L186" i="2"/>
  <c r="L187" i="2"/>
  <c r="L188" i="2"/>
  <c r="L189" i="2"/>
  <c r="K52" i="38" l="1"/>
  <c r="K60" i="38" l="1"/>
  <c r="K59" i="38"/>
  <c r="K58" i="38"/>
  <c r="K57" i="38"/>
  <c r="K56" i="38"/>
  <c r="K55" i="38"/>
  <c r="K54" i="38"/>
  <c r="K53" i="38"/>
  <c r="K51" i="38"/>
  <c r="K50" i="38"/>
  <c r="B5" i="39" l="1"/>
  <c r="B6" i="39"/>
  <c r="B7" i="39"/>
  <c r="B8" i="39"/>
  <c r="B4" i="39"/>
  <c r="B3" i="39"/>
  <c r="A4" i="39"/>
  <c r="A5" i="39"/>
  <c r="A6" i="39"/>
  <c r="A7" i="39"/>
  <c r="A8" i="39"/>
  <c r="A3" i="39"/>
  <c r="E13" i="39"/>
  <c r="F13" i="39" s="1"/>
  <c r="H13" i="39" s="1"/>
  <c r="B3" i="35"/>
  <c r="B5" i="35"/>
  <c r="B6" i="35"/>
  <c r="B7" i="35"/>
  <c r="B8" i="35"/>
  <c r="B4" i="35"/>
  <c r="A4" i="35"/>
  <c r="A5" i="35"/>
  <c r="A6" i="35"/>
  <c r="A7" i="35"/>
  <c r="A8" i="35"/>
  <c r="A3" i="35"/>
  <c r="D17" i="39"/>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J11" i="2"/>
  <c r="P11" i="2" s="1"/>
  <c r="J12" i="2"/>
  <c r="P12" i="2" s="1"/>
  <c r="J13" i="2"/>
  <c r="P13" i="2" s="1"/>
  <c r="J14" i="2"/>
  <c r="P14" i="2" s="1"/>
  <c r="J15" i="2"/>
  <c r="P15" i="2" s="1"/>
  <c r="J16" i="2"/>
  <c r="P16" i="2" s="1"/>
  <c r="J17" i="2"/>
  <c r="P17" i="2" s="1"/>
  <c r="J18" i="2"/>
  <c r="P18" i="2" s="1"/>
  <c r="J19" i="2"/>
  <c r="P19" i="2" s="1"/>
  <c r="J20" i="2"/>
  <c r="P20" i="2" s="1"/>
  <c r="J21" i="2"/>
  <c r="P21" i="2" s="1"/>
  <c r="J22" i="2"/>
  <c r="P22" i="2" s="1"/>
  <c r="J23" i="2"/>
  <c r="P23" i="2" s="1"/>
  <c r="J24" i="2"/>
  <c r="P24" i="2" s="1"/>
  <c r="J25" i="2"/>
  <c r="P25" i="2" s="1"/>
  <c r="J26" i="2"/>
  <c r="P26" i="2" s="1"/>
  <c r="J10" i="2"/>
  <c r="P10" i="2" s="1"/>
  <c r="B6" i="28"/>
  <c r="B5" i="28"/>
  <c r="B3" i="28"/>
  <c r="A4" i="28"/>
  <c r="A5" i="28"/>
  <c r="A6" i="28"/>
  <c r="A3" i="28"/>
  <c r="B7" i="2"/>
  <c r="B6" i="2"/>
  <c r="B5" i="2"/>
  <c r="B4" i="2"/>
  <c r="B3" i="2"/>
  <c r="C7" i="2"/>
  <c r="C6" i="2"/>
  <c r="C5" i="2"/>
  <c r="C3" i="2"/>
  <c r="K54" i="18"/>
  <c r="K55" i="18"/>
  <c r="K56" i="18"/>
  <c r="K57" i="18"/>
  <c r="K58" i="18"/>
  <c r="K59" i="18"/>
  <c r="K60" i="18"/>
  <c r="K53" i="18"/>
  <c r="K51" i="18"/>
  <c r="K50" i="18"/>
  <c r="J27" i="2"/>
  <c r="P27" i="2" s="1"/>
  <c r="J28" i="2"/>
  <c r="P28" i="2" s="1"/>
  <c r="J29" i="2"/>
  <c r="P29" i="2" s="1"/>
  <c r="J30" i="2"/>
  <c r="P30" i="2" s="1"/>
  <c r="J31" i="2"/>
  <c r="P31" i="2" s="1"/>
  <c r="J32" i="2"/>
  <c r="P32" i="2" s="1"/>
  <c r="J33" i="2"/>
  <c r="P33" i="2" s="1"/>
  <c r="J34" i="2"/>
  <c r="P34" i="2" s="1"/>
  <c r="J35" i="2"/>
  <c r="P35" i="2" s="1"/>
  <c r="J36" i="2"/>
  <c r="P36" i="2" s="1"/>
  <c r="J37" i="2"/>
  <c r="P37" i="2" s="1"/>
  <c r="J38" i="2"/>
  <c r="P38" i="2" s="1"/>
  <c r="J39" i="2"/>
  <c r="P39" i="2" s="1"/>
  <c r="J40" i="2"/>
  <c r="P40" i="2" s="1"/>
  <c r="J41" i="2"/>
  <c r="P41" i="2" s="1"/>
  <c r="J42" i="2"/>
  <c r="P42" i="2" s="1"/>
  <c r="J43" i="2"/>
  <c r="P43" i="2" s="1"/>
  <c r="J44" i="2"/>
  <c r="P44" i="2" s="1"/>
  <c r="J45" i="2"/>
  <c r="P45" i="2" s="1"/>
  <c r="J46" i="2"/>
  <c r="P46" i="2" s="1"/>
  <c r="J47" i="2"/>
  <c r="P47" i="2" s="1"/>
  <c r="J48" i="2"/>
  <c r="P48" i="2" s="1"/>
  <c r="J49" i="2"/>
  <c r="P49" i="2" s="1"/>
  <c r="J50" i="2"/>
  <c r="P50" i="2" s="1"/>
  <c r="J51" i="2"/>
  <c r="P51" i="2" s="1"/>
  <c r="J52" i="2"/>
  <c r="P52" i="2" s="1"/>
  <c r="J53" i="2"/>
  <c r="P53" i="2" s="1"/>
  <c r="J54" i="2"/>
  <c r="P54" i="2" s="1"/>
  <c r="J55" i="2"/>
  <c r="P55" i="2" s="1"/>
  <c r="J56" i="2"/>
  <c r="P56" i="2" s="1"/>
  <c r="J57" i="2"/>
  <c r="P57" i="2" s="1"/>
  <c r="J58" i="2"/>
  <c r="P58" i="2" s="1"/>
  <c r="J59" i="2"/>
  <c r="P59" i="2" s="1"/>
  <c r="J60" i="2"/>
  <c r="P60" i="2" s="1"/>
  <c r="J61" i="2"/>
  <c r="P61" i="2" s="1"/>
  <c r="J62" i="2"/>
  <c r="P62" i="2" s="1"/>
  <c r="J63" i="2"/>
  <c r="P63" i="2" s="1"/>
  <c r="J64" i="2"/>
  <c r="P64" i="2" s="1"/>
  <c r="J65" i="2"/>
  <c r="P65" i="2" s="1"/>
  <c r="J66" i="2"/>
  <c r="P66" i="2" s="1"/>
  <c r="J67" i="2"/>
  <c r="P67" i="2" s="1"/>
  <c r="J68" i="2"/>
  <c r="P68" i="2" s="1"/>
  <c r="J69" i="2"/>
  <c r="P69" i="2" s="1"/>
  <c r="J70" i="2"/>
  <c r="P70" i="2" s="1"/>
  <c r="J71" i="2"/>
  <c r="P71" i="2" s="1"/>
  <c r="J72" i="2"/>
  <c r="P72" i="2" s="1"/>
  <c r="J73" i="2"/>
  <c r="P73" i="2" s="1"/>
  <c r="J74" i="2"/>
  <c r="P74" i="2" s="1"/>
  <c r="J75" i="2"/>
  <c r="P75" i="2" s="1"/>
  <c r="J76" i="2"/>
  <c r="P76" i="2" s="1"/>
  <c r="J77" i="2"/>
  <c r="P77" i="2" s="1"/>
  <c r="J78" i="2"/>
  <c r="P78" i="2" s="1"/>
  <c r="J79" i="2"/>
  <c r="P79" i="2" s="1"/>
  <c r="J80" i="2"/>
  <c r="P80" i="2" s="1"/>
  <c r="J81" i="2"/>
  <c r="P81" i="2" s="1"/>
  <c r="J82" i="2"/>
  <c r="P82" i="2" s="1"/>
  <c r="J83" i="2"/>
  <c r="P83" i="2" s="1"/>
  <c r="J84" i="2"/>
  <c r="P84" i="2" s="1"/>
  <c r="P85" i="2"/>
  <c r="J86" i="2"/>
  <c r="P86" i="2" s="1"/>
  <c r="J87" i="2"/>
  <c r="P87" i="2" s="1"/>
  <c r="J88" i="2"/>
  <c r="P88" i="2" s="1"/>
  <c r="J89" i="2"/>
  <c r="P89" i="2" s="1"/>
  <c r="J90" i="2"/>
  <c r="P90" i="2" s="1"/>
  <c r="J91" i="2"/>
  <c r="P91" i="2" s="1"/>
  <c r="J92" i="2"/>
  <c r="P92" i="2" s="1"/>
  <c r="J93" i="2"/>
  <c r="P93" i="2" s="1"/>
  <c r="J94" i="2"/>
  <c r="P94" i="2" s="1"/>
  <c r="J95" i="2"/>
  <c r="P95" i="2" s="1"/>
  <c r="J96" i="2"/>
  <c r="P96" i="2" s="1"/>
  <c r="J97" i="2"/>
  <c r="P97" i="2" s="1"/>
  <c r="J98" i="2"/>
  <c r="P98" i="2" s="1"/>
  <c r="J99" i="2"/>
  <c r="P99" i="2" s="1"/>
  <c r="J100" i="2"/>
  <c r="P100" i="2" s="1"/>
  <c r="J101" i="2"/>
  <c r="P101" i="2" s="1"/>
  <c r="J102" i="2"/>
  <c r="P102" i="2" s="1"/>
  <c r="J103" i="2"/>
  <c r="P103" i="2" s="1"/>
  <c r="J104" i="2"/>
  <c r="P104" i="2" s="1"/>
  <c r="J105" i="2"/>
  <c r="P105" i="2" s="1"/>
  <c r="J106" i="2"/>
  <c r="P106" i="2" s="1"/>
  <c r="J107" i="2"/>
  <c r="P107" i="2" s="1"/>
  <c r="J108" i="2"/>
  <c r="P108" i="2" s="1"/>
  <c r="J109" i="2"/>
  <c r="P109" i="2" s="1"/>
  <c r="J110" i="2"/>
  <c r="P110" i="2" s="1"/>
  <c r="J111" i="2"/>
  <c r="P111" i="2" s="1"/>
  <c r="J112" i="2"/>
  <c r="P112" i="2" s="1"/>
  <c r="J113" i="2"/>
  <c r="P113" i="2" s="1"/>
  <c r="J114" i="2"/>
  <c r="P114" i="2" s="1"/>
  <c r="J115" i="2"/>
  <c r="P115" i="2" s="1"/>
  <c r="J116" i="2"/>
  <c r="P116" i="2" s="1"/>
  <c r="J117" i="2"/>
  <c r="P117" i="2" s="1"/>
  <c r="J118" i="2"/>
  <c r="P118" i="2" s="1"/>
  <c r="J119" i="2"/>
  <c r="P119" i="2" s="1"/>
  <c r="J120" i="2"/>
  <c r="P120" i="2" s="1"/>
  <c r="J121" i="2"/>
  <c r="P121" i="2" s="1"/>
  <c r="J122" i="2"/>
  <c r="P122" i="2" s="1"/>
  <c r="J123" i="2"/>
  <c r="P123" i="2" s="1"/>
  <c r="J124" i="2"/>
  <c r="P124" i="2" s="1"/>
  <c r="J125" i="2"/>
  <c r="P125" i="2" s="1"/>
  <c r="J126" i="2"/>
  <c r="P126" i="2" s="1"/>
  <c r="J127" i="2"/>
  <c r="P127" i="2" s="1"/>
  <c r="J128" i="2"/>
  <c r="P128" i="2" s="1"/>
  <c r="J129" i="2"/>
  <c r="P129" i="2" s="1"/>
  <c r="J130" i="2"/>
  <c r="P130" i="2" s="1"/>
  <c r="J131" i="2"/>
  <c r="P131" i="2" s="1"/>
  <c r="J132" i="2"/>
  <c r="P132" i="2" s="1"/>
  <c r="J133" i="2"/>
  <c r="P133" i="2" s="1"/>
  <c r="J134" i="2"/>
  <c r="P134" i="2" s="1"/>
  <c r="J135" i="2"/>
  <c r="P135" i="2" s="1"/>
  <c r="J136" i="2"/>
  <c r="P136" i="2" s="1"/>
  <c r="J137" i="2"/>
  <c r="P137" i="2" s="1"/>
  <c r="J138" i="2"/>
  <c r="P138" i="2" s="1"/>
  <c r="J139" i="2"/>
  <c r="P139" i="2" s="1"/>
  <c r="J140" i="2"/>
  <c r="P140" i="2" s="1"/>
  <c r="J141" i="2"/>
  <c r="P141" i="2" s="1"/>
  <c r="J142" i="2"/>
  <c r="P142" i="2" s="1"/>
  <c r="J143" i="2"/>
  <c r="P143" i="2" s="1"/>
  <c r="J144" i="2"/>
  <c r="P144" i="2" s="1"/>
  <c r="J145" i="2"/>
  <c r="P145" i="2" s="1"/>
  <c r="J146" i="2"/>
  <c r="P146" i="2" s="1"/>
  <c r="J147" i="2"/>
  <c r="P147" i="2" s="1"/>
  <c r="J148" i="2"/>
  <c r="P148" i="2" s="1"/>
  <c r="J149" i="2"/>
  <c r="P149" i="2" s="1"/>
  <c r="J150" i="2"/>
  <c r="P150" i="2" s="1"/>
  <c r="J151" i="2"/>
  <c r="P151" i="2" s="1"/>
  <c r="J152" i="2"/>
  <c r="P152" i="2" s="1"/>
  <c r="J153" i="2"/>
  <c r="P153" i="2" s="1"/>
  <c r="J154" i="2"/>
  <c r="P154" i="2" s="1"/>
  <c r="J155" i="2"/>
  <c r="P155" i="2" s="1"/>
  <c r="J156" i="2"/>
  <c r="P156" i="2" s="1"/>
  <c r="J157" i="2"/>
  <c r="P157" i="2" s="1"/>
  <c r="J158" i="2"/>
  <c r="P158" i="2" s="1"/>
  <c r="J159" i="2"/>
  <c r="P159" i="2" s="1"/>
  <c r="J160" i="2"/>
  <c r="P160" i="2" s="1"/>
  <c r="J161" i="2"/>
  <c r="P161" i="2" s="1"/>
  <c r="J162" i="2"/>
  <c r="P162" i="2" s="1"/>
  <c r="J163" i="2"/>
  <c r="P163" i="2" s="1"/>
  <c r="J164" i="2"/>
  <c r="P164" i="2" s="1"/>
  <c r="J165" i="2"/>
  <c r="P165" i="2" s="1"/>
  <c r="J166" i="2"/>
  <c r="P166" i="2" s="1"/>
  <c r="J167" i="2"/>
  <c r="P167" i="2" s="1"/>
  <c r="J168" i="2"/>
  <c r="P168" i="2" s="1"/>
  <c r="J169" i="2"/>
  <c r="P169" i="2" s="1"/>
  <c r="J170" i="2"/>
  <c r="P170" i="2" s="1"/>
  <c r="J171" i="2"/>
  <c r="P171" i="2" s="1"/>
  <c r="J172" i="2"/>
  <c r="P172" i="2" s="1"/>
  <c r="J173" i="2"/>
  <c r="P173" i="2" s="1"/>
  <c r="J174" i="2"/>
  <c r="P174" i="2" s="1"/>
  <c r="J175" i="2"/>
  <c r="P175" i="2" s="1"/>
  <c r="J176" i="2"/>
  <c r="P176" i="2" s="1"/>
  <c r="J177" i="2"/>
  <c r="P177" i="2" s="1"/>
  <c r="J178" i="2"/>
  <c r="P178" i="2" s="1"/>
  <c r="J179" i="2"/>
  <c r="P179" i="2" s="1"/>
  <c r="J180" i="2"/>
  <c r="P180" i="2" s="1"/>
  <c r="J181" i="2"/>
  <c r="P181" i="2" s="1"/>
  <c r="J182" i="2"/>
  <c r="P182" i="2" s="1"/>
  <c r="J183" i="2"/>
  <c r="P183" i="2" s="1"/>
  <c r="J184" i="2"/>
  <c r="P184" i="2" s="1"/>
  <c r="J185" i="2"/>
  <c r="P185" i="2" s="1"/>
  <c r="J186" i="2"/>
  <c r="P186" i="2" s="1"/>
  <c r="J187" i="2"/>
  <c r="P187" i="2" s="1"/>
  <c r="J188" i="2"/>
  <c r="P188" i="2" s="1"/>
  <c r="J189" i="2"/>
  <c r="P189" i="2" s="1"/>
  <c r="J190" i="2"/>
  <c r="P190" i="2" s="1"/>
  <c r="J191" i="2"/>
  <c r="P191" i="2" s="1"/>
  <c r="J192" i="2"/>
  <c r="P192" i="2" s="1"/>
  <c r="J193" i="2"/>
  <c r="P193" i="2" s="1"/>
  <c r="J194" i="2"/>
  <c r="P194" i="2" s="1"/>
  <c r="B17" i="37" l="1"/>
  <c r="M66" i="2"/>
  <c r="L66" i="2" s="1"/>
  <c r="M106" i="2"/>
  <c r="L106" i="2" s="1"/>
  <c r="M146" i="2"/>
  <c r="L146" i="2" s="1"/>
  <c r="M80" i="2"/>
  <c r="L80" i="2" s="1"/>
  <c r="M124" i="2"/>
  <c r="L124" i="2" s="1"/>
  <c r="M47" i="2"/>
  <c r="L47" i="2" s="1"/>
  <c r="M50" i="2"/>
  <c r="L50" i="2" s="1"/>
  <c r="M135" i="2"/>
  <c r="L135" i="2" s="1"/>
  <c r="M138" i="2"/>
  <c r="L138" i="2" s="1"/>
  <c r="M141" i="2"/>
  <c r="L141" i="2" s="1"/>
  <c r="M64" i="2"/>
  <c r="L64" i="2" s="1"/>
  <c r="M27" i="2"/>
  <c r="L27" i="2" s="1"/>
  <c r="M107" i="2"/>
  <c r="L107" i="2" s="1"/>
  <c r="M147" i="2"/>
  <c r="L147" i="2" s="1"/>
  <c r="M84" i="2"/>
  <c r="L84" i="2" s="1"/>
  <c r="M95" i="2"/>
  <c r="L95" i="2" s="1"/>
  <c r="M99" i="2"/>
  <c r="L99" i="2" s="1"/>
  <c r="M144" i="2"/>
  <c r="L144" i="2" s="1"/>
  <c r="M28" i="2"/>
  <c r="L28" i="2" s="1"/>
  <c r="M68" i="2"/>
  <c r="L68" i="2" s="1"/>
  <c r="M108" i="2"/>
  <c r="L108" i="2" s="1"/>
  <c r="M148" i="2"/>
  <c r="L148" i="2" s="1"/>
  <c r="M160" i="2"/>
  <c r="L160" i="2" s="1"/>
  <c r="M164" i="2"/>
  <c r="L164" i="2" s="1"/>
  <c r="M167" i="2"/>
  <c r="L167" i="2" s="1"/>
  <c r="M130" i="2"/>
  <c r="L130" i="2" s="1"/>
  <c r="M134" i="2"/>
  <c r="L134" i="2" s="1"/>
  <c r="M177" i="2"/>
  <c r="L177" i="2" s="1"/>
  <c r="M181" i="2"/>
  <c r="L181" i="2" s="1"/>
  <c r="M29" i="2"/>
  <c r="L29" i="2" s="1"/>
  <c r="M69" i="2"/>
  <c r="L69" i="2" s="1"/>
  <c r="M109" i="2"/>
  <c r="L109" i="2" s="1"/>
  <c r="M149" i="2"/>
  <c r="L149" i="2" s="1"/>
  <c r="M155" i="2"/>
  <c r="L155" i="2" s="1"/>
  <c r="M120" i="2"/>
  <c r="L120" i="2" s="1"/>
  <c r="M43" i="2"/>
  <c r="L43" i="2" s="1"/>
  <c r="M126" i="2"/>
  <c r="L126" i="2" s="1"/>
  <c r="M89" i="2"/>
  <c r="L89" i="2" s="1"/>
  <c r="M173" i="2"/>
  <c r="L173" i="2" s="1"/>
  <c r="M56" i="2"/>
  <c r="L56" i="2" s="1"/>
  <c r="M102" i="2"/>
  <c r="L102" i="2" s="1"/>
  <c r="M70" i="2"/>
  <c r="L70" i="2" s="1"/>
  <c r="M110" i="2"/>
  <c r="L110" i="2" s="1"/>
  <c r="M150" i="2"/>
  <c r="L150" i="2" s="1"/>
  <c r="M190" i="2"/>
  <c r="L190" i="2" s="1"/>
  <c r="M152" i="2"/>
  <c r="L152" i="2" s="1"/>
  <c r="M78" i="2"/>
  <c r="L78" i="2" s="1"/>
  <c r="M82" i="2"/>
  <c r="L82" i="2" s="1"/>
  <c r="M165" i="2"/>
  <c r="L165" i="2" s="1"/>
  <c r="M88" i="2"/>
  <c r="L88" i="2" s="1"/>
  <c r="M92" i="2"/>
  <c r="L92" i="2" s="1"/>
  <c r="M137" i="2"/>
  <c r="L137" i="2" s="1"/>
  <c r="M101" i="2"/>
  <c r="L101" i="2" s="1"/>
  <c r="M185" i="2"/>
  <c r="L185" i="2" s="1"/>
  <c r="M31" i="2"/>
  <c r="L31" i="2" s="1"/>
  <c r="M71" i="2"/>
  <c r="L71" i="2" s="1"/>
  <c r="M111" i="2"/>
  <c r="L111" i="2" s="1"/>
  <c r="M151" i="2"/>
  <c r="L151" i="2" s="1"/>
  <c r="M191" i="2"/>
  <c r="L191" i="2" s="1"/>
  <c r="M192" i="2"/>
  <c r="L192" i="2" s="1"/>
  <c r="M194" i="2"/>
  <c r="L194" i="2" s="1"/>
  <c r="M45" i="2"/>
  <c r="L45" i="2" s="1"/>
  <c r="M168" i="2"/>
  <c r="L168" i="2" s="1"/>
  <c r="M91" i="2"/>
  <c r="L91" i="2" s="1"/>
  <c r="M94" i="2"/>
  <c r="L94" i="2" s="1"/>
  <c r="M96" i="2"/>
  <c r="L96" i="2" s="1"/>
  <c r="M61" i="2"/>
  <c r="L61" i="2" s="1"/>
  <c r="M32" i="2"/>
  <c r="L32" i="2" s="1"/>
  <c r="M72" i="2"/>
  <c r="L72" i="2" s="1"/>
  <c r="M112" i="2"/>
  <c r="L112" i="2" s="1"/>
  <c r="M157" i="2"/>
  <c r="L157" i="2" s="1"/>
  <c r="M121" i="2"/>
  <c r="L121" i="2" s="1"/>
  <c r="M85" i="2"/>
  <c r="L85" i="2" s="1"/>
  <c r="M169" i="2"/>
  <c r="L169" i="2" s="1"/>
  <c r="M133" i="2"/>
  <c r="L133" i="2" s="1"/>
  <c r="M97" i="2"/>
  <c r="L97" i="2" s="1"/>
  <c r="M103" i="2"/>
  <c r="L103" i="2" s="1"/>
  <c r="M33" i="2"/>
  <c r="L33" i="2" s="1"/>
  <c r="M73" i="2"/>
  <c r="L73" i="2" s="1"/>
  <c r="M113" i="2"/>
  <c r="L113" i="2" s="1"/>
  <c r="M153" i="2"/>
  <c r="L153" i="2" s="1"/>
  <c r="M193" i="2"/>
  <c r="L193" i="2" s="1"/>
  <c r="M159" i="2"/>
  <c r="L159" i="2" s="1"/>
  <c r="M162" i="2"/>
  <c r="L162" i="2" s="1"/>
  <c r="M166" i="2"/>
  <c r="L166" i="2" s="1"/>
  <c r="M129" i="2"/>
  <c r="L129" i="2" s="1"/>
  <c r="M178" i="2"/>
  <c r="L178" i="2" s="1"/>
  <c r="M142" i="2"/>
  <c r="L142" i="2" s="1"/>
  <c r="M74" i="2"/>
  <c r="L74" i="2" s="1"/>
  <c r="M114" i="2"/>
  <c r="L114" i="2" s="1"/>
  <c r="M154" i="2"/>
  <c r="L154" i="2" s="1"/>
  <c r="M81" i="2"/>
  <c r="L81" i="2" s="1"/>
  <c r="M86" i="2"/>
  <c r="L86" i="2" s="1"/>
  <c r="M51" i="2"/>
  <c r="L51" i="2" s="1"/>
  <c r="M175" i="2"/>
  <c r="L175" i="2" s="1"/>
  <c r="M98" i="2"/>
  <c r="L98" i="2" s="1"/>
  <c r="M183" i="2"/>
  <c r="L183" i="2" s="1"/>
  <c r="M35" i="2"/>
  <c r="L35" i="2" s="1"/>
  <c r="M75" i="2"/>
  <c r="L75" i="2" s="1"/>
  <c r="M44" i="2"/>
  <c r="L44" i="2" s="1"/>
  <c r="M60" i="2"/>
  <c r="L60" i="2" s="1"/>
  <c r="E19" i="37" s="1"/>
  <c r="M36" i="2"/>
  <c r="L36" i="2" s="1"/>
  <c r="M116" i="2"/>
  <c r="L116" i="2" s="1"/>
  <c r="M156" i="2"/>
  <c r="L156" i="2" s="1"/>
  <c r="M79" i="2"/>
  <c r="L79" i="2" s="1"/>
  <c r="M163" i="2"/>
  <c r="L163" i="2" s="1"/>
  <c r="M87" i="2"/>
  <c r="L87" i="2" s="1"/>
  <c r="M131" i="2"/>
  <c r="L131" i="2" s="1"/>
  <c r="M54" i="2"/>
  <c r="L54" i="2" s="1"/>
  <c r="M59" i="2"/>
  <c r="L59" i="2" s="1"/>
  <c r="M104" i="2"/>
  <c r="L104" i="2" s="1"/>
  <c r="M37" i="2"/>
  <c r="L37" i="2" s="1"/>
  <c r="M77" i="2"/>
  <c r="L77" i="2" s="1"/>
  <c r="M117" i="2"/>
  <c r="L117" i="2" s="1"/>
  <c r="M158" i="2"/>
  <c r="L158" i="2" s="1"/>
  <c r="M122" i="2"/>
  <c r="L122" i="2" s="1"/>
  <c r="M46" i="2"/>
  <c r="L46" i="2" s="1"/>
  <c r="M132" i="2"/>
  <c r="L132" i="2" s="1"/>
  <c r="M136" i="2"/>
  <c r="L136" i="2" s="1"/>
  <c r="M62" i="2"/>
  <c r="L62" i="2" s="1"/>
  <c r="M38" i="2"/>
  <c r="L38" i="2" s="1"/>
  <c r="M83" i="2"/>
  <c r="L83" i="2" s="1"/>
  <c r="M127" i="2"/>
  <c r="L127" i="2" s="1"/>
  <c r="M170" i="2"/>
  <c r="L170" i="2" s="1"/>
  <c r="M93" i="2"/>
  <c r="L93" i="2" s="1"/>
  <c r="M57" i="2"/>
  <c r="L57" i="2" s="1"/>
  <c r="M63" i="2"/>
  <c r="L63" i="2" s="1"/>
  <c r="M39" i="2"/>
  <c r="L39" i="2" s="1"/>
  <c r="M161" i="2"/>
  <c r="L161" i="2" s="1"/>
  <c r="M125" i="2"/>
  <c r="L125" i="2" s="1"/>
  <c r="M90" i="2"/>
  <c r="L90" i="2" s="1"/>
  <c r="M174" i="2"/>
  <c r="L174" i="2" s="1"/>
  <c r="M58" i="2"/>
  <c r="L58" i="2" s="1"/>
  <c r="M65" i="2"/>
  <c r="L65" i="2" s="1"/>
  <c r="M40" i="2"/>
  <c r="L40" i="2" s="1"/>
  <c r="M123" i="2"/>
  <c r="L123" i="2" s="1"/>
  <c r="M128" i="2"/>
  <c r="L128" i="2" s="1"/>
  <c r="M52" i="2"/>
  <c r="L52" i="2" s="1"/>
  <c r="M176" i="2"/>
  <c r="L176" i="2" s="1"/>
  <c r="M180" i="2"/>
  <c r="L180" i="2" s="1"/>
  <c r="M105" i="2"/>
  <c r="L105" i="2" s="1"/>
  <c r="M41" i="2"/>
  <c r="L41" i="2" s="1"/>
  <c r="M182" i="2"/>
  <c r="L182" i="2" s="1"/>
  <c r="M42" i="2"/>
  <c r="L42" i="2" s="1"/>
  <c r="M139" i="2"/>
  <c r="L139" i="2" s="1"/>
  <c r="M145" i="2"/>
  <c r="L145" i="2" s="1"/>
  <c r="M140" i="2"/>
  <c r="L140" i="2" s="1"/>
  <c r="M179" i="2"/>
  <c r="L179" i="2" s="1"/>
  <c r="M100" i="2"/>
  <c r="L100" i="2" s="1"/>
  <c r="M184" i="2"/>
  <c r="L184" i="2" s="1"/>
  <c r="M143" i="2"/>
  <c r="L143" i="2" s="1"/>
  <c r="M11" i="2"/>
  <c r="M19" i="2"/>
  <c r="M10" i="2"/>
  <c r="M12" i="2"/>
  <c r="M20" i="2"/>
  <c r="M13" i="2"/>
  <c r="M21" i="2"/>
  <c r="M14" i="2"/>
  <c r="M22" i="2"/>
  <c r="M15" i="2"/>
  <c r="M23" i="2"/>
  <c r="M16" i="2"/>
  <c r="M24" i="2"/>
  <c r="M17" i="2"/>
  <c r="M25" i="2"/>
  <c r="M18" i="2"/>
  <c r="M26" i="2"/>
  <c r="D19" i="37"/>
  <c r="B18" i="37"/>
  <c r="B24" i="37"/>
  <c r="B19" i="37"/>
  <c r="B20" i="37"/>
  <c r="B21" i="37"/>
  <c r="B22" i="37"/>
  <c r="B25" i="37"/>
  <c r="B23" i="37"/>
  <c r="D23" i="37"/>
  <c r="D24" i="37"/>
  <c r="D21" i="37"/>
  <c r="D18" i="37"/>
  <c r="D20" i="37"/>
  <c r="D22" i="37"/>
  <c r="D25" i="37"/>
  <c r="H17" i="39"/>
  <c r="D15" i="37"/>
  <c r="D16" i="37"/>
  <c r="D17" i="37"/>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E17" i="37" l="1"/>
  <c r="E23" i="37"/>
  <c r="G23" i="37" s="1"/>
  <c r="E21" i="37"/>
  <c r="E22" i="37"/>
  <c r="G22" i="37" s="1"/>
  <c r="E20" i="37"/>
  <c r="F20" i="37" s="1"/>
  <c r="E18" i="37"/>
  <c r="G18" i="37" s="1"/>
  <c r="L15" i="2"/>
  <c r="L17" i="2"/>
  <c r="L20" i="2"/>
  <c r="L19" i="2"/>
  <c r="L26" i="2"/>
  <c r="L21" i="2"/>
  <c r="L22" i="2"/>
  <c r="L18" i="2"/>
  <c r="L14" i="2"/>
  <c r="L12" i="2"/>
  <c r="L16" i="2"/>
  <c r="L24" i="2"/>
  <c r="L23" i="2"/>
  <c r="L11" i="2"/>
  <c r="L25" i="2"/>
  <c r="L13" i="2"/>
  <c r="L10" i="2"/>
  <c r="G19" i="37"/>
  <c r="G24" i="37"/>
  <c r="F24" i="37"/>
  <c r="F25" i="37"/>
  <c r="G25" i="37"/>
  <c r="I30" i="38"/>
  <c r="I27" i="38"/>
  <c r="J27" i="38"/>
  <c r="K27" i="38"/>
  <c r="L27" i="38"/>
  <c r="M27" i="38"/>
  <c r="N27" i="38"/>
  <c r="I28" i="38"/>
  <c r="J28" i="38"/>
  <c r="K28" i="38"/>
  <c r="L28" i="38"/>
  <c r="M28" i="38"/>
  <c r="N28" i="38"/>
  <c r="I29" i="38"/>
  <c r="J29" i="38"/>
  <c r="K29" i="38"/>
  <c r="L29" i="38"/>
  <c r="M29" i="38"/>
  <c r="N29" i="38"/>
  <c r="E15" i="37" l="1"/>
  <c r="E16" i="37"/>
  <c r="F21" i="37"/>
  <c r="F23" i="37"/>
  <c r="G20" i="37"/>
  <c r="G21" i="37"/>
  <c r="F22" i="37"/>
  <c r="F29" i="37" l="1"/>
  <c r="H37" i="37"/>
  <c r="F37" i="37"/>
  <c r="G37" i="37"/>
  <c r="F31" i="37"/>
  <c r="G39" i="37"/>
  <c r="F39" i="37"/>
  <c r="G38" i="37"/>
  <c r="F38" i="37"/>
  <c r="G36" i="37"/>
  <c r="F36" i="37"/>
  <c r="H36" i="37"/>
  <c r="H35" i="37"/>
  <c r="F35" i="37"/>
  <c r="F34" i="37"/>
  <c r="G34" i="37"/>
  <c r="H34" i="37"/>
  <c r="F33" i="37"/>
  <c r="H33" i="37"/>
  <c r="G33" i="37"/>
  <c r="G32" i="37"/>
  <c r="F32" i="37"/>
  <c r="H32" i="37"/>
  <c r="F30" i="37"/>
  <c r="C16" i="17"/>
  <c r="F40" i="37" l="1"/>
  <c r="N33" i="18"/>
  <c r="M33" i="18"/>
  <c r="L33" i="18"/>
  <c r="K33" i="18"/>
  <c r="J33" i="18"/>
  <c r="I33" i="18"/>
  <c r="N30" i="38"/>
  <c r="M30" i="38"/>
  <c r="L30" i="38"/>
  <c r="K30" i="38"/>
  <c r="J30" i="38"/>
  <c r="J31" i="38" l="1"/>
  <c r="I31" i="38"/>
  <c r="M31" i="38"/>
  <c r="L31" i="38"/>
  <c r="I40" i="18"/>
  <c r="N40" i="18"/>
  <c r="M40" i="18"/>
  <c r="J23" i="28"/>
  <c r="J11" i="28"/>
  <c r="J12" i="28"/>
  <c r="J13" i="28"/>
  <c r="J14" i="28"/>
  <c r="J15" i="28"/>
  <c r="J16" i="28"/>
  <c r="J17" i="28"/>
  <c r="J18" i="28"/>
  <c r="J19" i="28"/>
  <c r="J20" i="28"/>
  <c r="J21" i="28"/>
  <c r="J22" i="28"/>
  <c r="N23" i="38"/>
  <c r="M23" i="38"/>
  <c r="L23" i="38"/>
  <c r="K23" i="38"/>
  <c r="J23" i="38"/>
  <c r="I23" i="38"/>
  <c r="B4" i="38"/>
  <c r="E14" i="35"/>
  <c r="F14" i="35" s="1"/>
  <c r="F15" i="35"/>
  <c r="E13" i="35"/>
  <c r="F13" i="35" s="1"/>
  <c r="B4" i="37"/>
  <c r="B4" i="5"/>
  <c r="B4" i="31"/>
  <c r="D45" i="35"/>
  <c r="N29" i="18"/>
  <c r="M29" i="18"/>
  <c r="L29" i="18"/>
  <c r="K29" i="18"/>
  <c r="J29" i="18"/>
  <c r="I29" i="18"/>
  <c r="F12" i="31"/>
  <c r="F11" i="31"/>
  <c r="B4" i="28"/>
  <c r="C4" i="2"/>
  <c r="B4" i="18"/>
  <c r="B4" i="17"/>
  <c r="B41" i="17"/>
  <c r="B47" i="17" s="1"/>
  <c r="B51" i="17" s="1"/>
  <c r="B52" i="17"/>
  <c r="B16" i="37" l="1"/>
  <c r="B15" i="37"/>
  <c r="H13" i="35"/>
  <c r="H43" i="35"/>
  <c r="H15" i="35"/>
  <c r="H31" i="37" s="1"/>
  <c r="H14" i="35"/>
  <c r="H30" i="37" s="1"/>
  <c r="O30" i="18"/>
  <c r="F16" i="31"/>
  <c r="B49" i="17"/>
  <c r="B50" i="17"/>
  <c r="J25" i="28"/>
  <c r="O25" i="38"/>
  <c r="K31" i="38"/>
  <c r="J40" i="18"/>
  <c r="N31" i="38"/>
  <c r="L40" i="18"/>
  <c r="K40" i="18"/>
  <c r="H45" i="35" l="1"/>
  <c r="H29" i="37"/>
  <c r="H38" i="37"/>
  <c r="H39" i="37"/>
  <c r="B26" i="37"/>
  <c r="E12" i="18"/>
  <c r="E15" i="18" s="1"/>
  <c r="B53" i="17"/>
  <c r="E12" i="38"/>
  <c r="E15" i="38" s="1"/>
  <c r="H40" i="37" l="1"/>
  <c r="E17" i="38"/>
  <c r="K46" i="38" s="1"/>
  <c r="K45" i="38"/>
  <c r="F16" i="37"/>
  <c r="G15" i="37"/>
  <c r="G16" i="37"/>
  <c r="E18" i="18"/>
  <c r="K47" i="18" s="1"/>
  <c r="K45" i="18"/>
  <c r="E26" i="37"/>
  <c r="F15" i="37"/>
  <c r="G17" i="37"/>
  <c r="E18" i="38"/>
  <c r="E17" i="18"/>
  <c r="G6" i="28" l="1"/>
  <c r="K52" i="18"/>
  <c r="G26" i="37"/>
  <c r="E19" i="38"/>
  <c r="E21" i="38" s="1"/>
  <c r="K47" i="38"/>
  <c r="F26" i="37"/>
  <c r="E19" i="18"/>
  <c r="E21" i="18" s="1"/>
  <c r="C29" i="17" s="1"/>
  <c r="C31" i="17" s="1"/>
  <c r="C34" i="17" s="1"/>
  <c r="C21" i="17" s="1"/>
  <c r="C24" i="17" s="1"/>
  <c r="K46" i="18"/>
  <c r="E22" i="38" l="1"/>
  <c r="E23" i="38" s="1"/>
  <c r="E25" i="38" s="1"/>
  <c r="E22" i="18"/>
  <c r="K48" i="38" l="1"/>
  <c r="E26" i="38"/>
  <c r="E32" i="38" s="1"/>
  <c r="E43" i="38" s="1"/>
  <c r="K61" i="38" s="1"/>
  <c r="K49" i="38"/>
  <c r="E23" i="18"/>
  <c r="E25" i="18" s="1"/>
  <c r="K48" i="18"/>
  <c r="K63" i="38" l="1"/>
  <c r="E26" i="18"/>
  <c r="E32" i="18" s="1"/>
  <c r="K49" i="18"/>
  <c r="E47" i="38"/>
  <c r="D35" i="37" l="1"/>
  <c r="D32" i="37"/>
  <c r="D33" i="37"/>
  <c r="D39" i="37"/>
  <c r="D38" i="37"/>
  <c r="D36" i="37"/>
  <c r="D37" i="37"/>
  <c r="D34" i="37"/>
  <c r="D31" i="37"/>
  <c r="D30" i="37"/>
  <c r="D29" i="37"/>
  <c r="F35" i="38"/>
  <c r="F36" i="38"/>
  <c r="F37" i="38"/>
  <c r="F38" i="38"/>
  <c r="F39" i="38"/>
  <c r="F40" i="38"/>
  <c r="F41" i="38"/>
  <c r="E49" i="38"/>
  <c r="K65" i="38" s="1"/>
  <c r="F34" i="38"/>
  <c r="E53" i="38"/>
  <c r="F19" i="38"/>
  <c r="F45" i="38"/>
  <c r="F26" i="38"/>
  <c r="E51" i="38"/>
  <c r="F23" i="38"/>
  <c r="F32" i="38"/>
  <c r="F43" i="38"/>
  <c r="E43" i="18"/>
  <c r="K61" i="18" s="1"/>
  <c r="K63" i="18" s="1"/>
  <c r="K69" i="38" l="1"/>
  <c r="K67" i="38"/>
  <c r="D40" i="37"/>
  <c r="F47" i="38"/>
  <c r="E47" i="18"/>
  <c r="E37" i="37" l="1"/>
  <c r="E39" i="37"/>
  <c r="E35" i="37"/>
  <c r="E36" i="37"/>
  <c r="E34" i="37"/>
  <c r="E38" i="37"/>
  <c r="E32" i="37"/>
  <c r="E33" i="37"/>
  <c r="E31" i="37"/>
  <c r="B32" i="37"/>
  <c r="C32" i="37" s="1"/>
  <c r="B34" i="37"/>
  <c r="C34" i="37" s="1"/>
  <c r="B35" i="37"/>
  <c r="C35" i="37" s="1"/>
  <c r="B37" i="37"/>
  <c r="C37" i="37" s="1"/>
  <c r="B36" i="37"/>
  <c r="C36" i="37" s="1"/>
  <c r="B38" i="37"/>
  <c r="C38" i="37" s="1"/>
  <c r="B39" i="37"/>
  <c r="C39" i="37" s="1"/>
  <c r="B33" i="37"/>
  <c r="C33" i="37" s="1"/>
  <c r="E30" i="37"/>
  <c r="E29" i="37"/>
  <c r="B30" i="37"/>
  <c r="C30" i="37" s="1"/>
  <c r="B31" i="37"/>
  <c r="C31" i="37" s="1"/>
  <c r="B29" i="37"/>
  <c r="C29" i="37" s="1"/>
  <c r="E49" i="18"/>
  <c r="F35" i="18"/>
  <c r="F36" i="18"/>
  <c r="F37" i="18"/>
  <c r="F38" i="18"/>
  <c r="F39" i="18"/>
  <c r="F40" i="18"/>
  <c r="F41" i="18"/>
  <c r="F34" i="18"/>
  <c r="F42" i="18"/>
  <c r="E51" i="18"/>
  <c r="F45" i="18"/>
  <c r="F19" i="18"/>
  <c r="F23" i="18"/>
  <c r="F26" i="18"/>
  <c r="E53" i="18"/>
  <c r="F32" i="18"/>
  <c r="F43" i="18"/>
  <c r="C40" i="37" l="1"/>
  <c r="E40" i="37"/>
  <c r="G12" i="31"/>
  <c r="H12" i="31" s="1"/>
  <c r="G30" i="37" s="1"/>
  <c r="G11" i="31"/>
  <c r="H11" i="31" s="1"/>
  <c r="K69" i="18"/>
  <c r="K67" i="18"/>
  <c r="K65" i="18"/>
  <c r="B40" i="37"/>
  <c r="G31" i="37"/>
  <c r="F47" i="18"/>
  <c r="G29" i="37" l="1"/>
  <c r="G35" i="37"/>
  <c r="I39" i="37"/>
  <c r="I30" i="37"/>
  <c r="I31" i="37"/>
  <c r="I33" i="37"/>
  <c r="I38" i="37"/>
  <c r="I36" i="37"/>
  <c r="I34" i="37"/>
  <c r="I37" i="37"/>
  <c r="I32" i="37"/>
  <c r="H16" i="31"/>
  <c r="G40" i="37" l="1"/>
  <c r="I29" i="37"/>
  <c r="I35" i="37"/>
  <c r="J35" i="37" s="1"/>
  <c r="J32" i="37"/>
  <c r="J37" i="37"/>
  <c r="J34" i="37"/>
  <c r="J36" i="37"/>
  <c r="J38" i="37"/>
  <c r="J33" i="37"/>
  <c r="J31" i="37"/>
  <c r="J30" i="37"/>
  <c r="J39" i="37"/>
  <c r="J29" i="37" l="1"/>
  <c r="J40" i="37" s="1"/>
  <c r="I40" i="37"/>
  <c r="P1" i="37" s="1"/>
  <c r="P2" i="37" s="1"/>
  <c r="P3"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 Toorenburgh</author>
  </authors>
  <commentList>
    <comment ref="E45" authorId="0" shapeId="0" xr:uid="{48CEA581-D74A-4E2E-AEB8-0AEE4D067BE0}">
      <text>
        <r>
          <rPr>
            <b/>
            <sz val="9"/>
            <color indexed="81"/>
            <rFont val="Tahoma"/>
            <family val="2"/>
          </rPr>
          <t>Let op bij leegmaken op 0 zetten. Hier zit nu een formule in!!</t>
        </r>
      </text>
    </comment>
  </commentList>
</comments>
</file>

<file path=xl/sharedStrings.xml><?xml version="1.0" encoding="utf-8"?>
<sst xmlns="http://schemas.openxmlformats.org/spreadsheetml/2006/main" count="1804" uniqueCount="440">
  <si>
    <t>Naam opdrachtgever</t>
  </si>
  <si>
    <t>Calculatie onderdeel</t>
  </si>
  <si>
    <t>Gebouw/plaats</t>
  </si>
  <si>
    <t>Referentie nummer</t>
  </si>
  <si>
    <t>Invoervelden</t>
  </si>
  <si>
    <t>Minimale taakgrootte</t>
  </si>
  <si>
    <t>EINDTOTAAL KOSTEN PER JAAR  EXCLUSIEF BTW         INSCHRIJVINGSBEDRAG</t>
  </si>
  <si>
    <t>uur per dag</t>
  </si>
  <si>
    <t>B.T.W.</t>
  </si>
  <si>
    <t>Basis calculatiemodel</t>
  </si>
  <si>
    <t>Totale kosten per jaar inclusief B.T.W.</t>
  </si>
  <si>
    <t>Toezicht percentage</t>
  </si>
  <si>
    <t>Sliedrecht</t>
  </si>
  <si>
    <t>per prod. Uur</t>
  </si>
  <si>
    <t>MAXIMALE BOVENGRENS PLAFONDBEDRAG INSCHRIJVINGSBEDRAG</t>
  </si>
  <si>
    <t>MAXIMALE ONDERGRENS INSCHRIJVINGSBEDRAG</t>
  </si>
  <si>
    <t>Naam dienstverlener</t>
  </si>
  <si>
    <t>Gemeente Sliedrecht</t>
  </si>
  <si>
    <t>Prijspeil</t>
  </si>
  <si>
    <t>Versie</t>
  </si>
  <si>
    <t>PRODUCTIE UREN PER JAAR</t>
  </si>
  <si>
    <t>UREN OPSLAG MINIMALE TAAKGROOTTE PER JAAR</t>
  </si>
  <si>
    <t>TOEZICHTUREN PER JAAR</t>
  </si>
  <si>
    <t>Locatie</t>
  </si>
  <si>
    <t>Totaal m2</t>
  </si>
  <si>
    <t>Locatie factor</t>
  </si>
  <si>
    <t>Hoogste frequentie ma t/m vr</t>
  </si>
  <si>
    <t>ma t/m vr</t>
  </si>
  <si>
    <t>Uren minimale taakgrootte ma t/m vrij</t>
  </si>
  <si>
    <t>Toezicht uren per jaar ma t/m vr</t>
  </si>
  <si>
    <t>wijkonderkomen begraafplaats</t>
  </si>
  <si>
    <t>NME</t>
  </si>
  <si>
    <t>NME Stallen</t>
  </si>
  <si>
    <t>NME Theehuis</t>
  </si>
  <si>
    <t>Gemeentewerf</t>
  </si>
  <si>
    <t>Sporthal de Valk</t>
  </si>
  <si>
    <t>Bonkelaarshuis</t>
  </si>
  <si>
    <t>Jongerencentrum</t>
  </si>
  <si>
    <t>Gemeentekantoor</t>
  </si>
  <si>
    <t>Totaal</t>
  </si>
  <si>
    <t>Kosten productie per jaar ma t/m vr incl minimale taakgrootte</t>
  </si>
  <si>
    <t>Totale kosten productie per jaar</t>
  </si>
  <si>
    <t xml:space="preserve">Kosten toezicht per jaar ma t/m vr </t>
  </si>
  <si>
    <t>Totale kosten toezicht per jaar</t>
  </si>
  <si>
    <t>Kosten vloeronderhoud per jaar</t>
  </si>
  <si>
    <t>Kosten Additioneel per jaar</t>
  </si>
  <si>
    <t>Kosten glasbewassing per jaar</t>
  </si>
  <si>
    <t>Totaal kosten per jaar excl. btw</t>
  </si>
  <si>
    <t>Totaal kosten per maand excl. btw</t>
  </si>
  <si>
    <t>Gewogen prestatie</t>
  </si>
  <si>
    <t>m2/uur</t>
  </si>
  <si>
    <t>Frequentie van uitvoering (per jaar):</t>
  </si>
  <si>
    <t>Ruimtecategorie</t>
  </si>
  <si>
    <t>Prestatienorm in aantal m2 per uur</t>
  </si>
  <si>
    <t>M2 Totaal</t>
  </si>
  <si>
    <t>Naloop opslag ma-vr</t>
  </si>
  <si>
    <t>Weekend / feestdag opslag</t>
  </si>
  <si>
    <t>Naloop weekend / feestdag opslag</t>
  </si>
  <si>
    <t>Administratieve ruimten</t>
  </si>
  <si>
    <t>Sanitaire ruimten</t>
  </si>
  <si>
    <t>Gang, hal</t>
  </si>
  <si>
    <t>Pantry/keuken</t>
  </si>
  <si>
    <t>Kleedruimten</t>
  </si>
  <si>
    <t>Vergaderruimten</t>
  </si>
  <si>
    <t>Opslagruimte</t>
  </si>
  <si>
    <t>Sportzaal</t>
  </si>
  <si>
    <t>Entree</t>
  </si>
  <si>
    <t>Trappenhuis</t>
  </si>
  <si>
    <t>Lift</t>
  </si>
  <si>
    <t>Douche</t>
  </si>
  <si>
    <t>Nio</t>
  </si>
  <si>
    <t>Kolom voor matrix</t>
  </si>
  <si>
    <t>Frequentie verklaring</t>
  </si>
  <si>
    <t>Freq</t>
  </si>
  <si>
    <t>Kolom</t>
  </si>
  <si>
    <t>2 x per jaar</t>
  </si>
  <si>
    <t>4 x per jaar</t>
  </si>
  <si>
    <t>1 x per maand</t>
  </si>
  <si>
    <t>1 x per week (52 weken)</t>
  </si>
  <si>
    <t>3 x per week (52 weken)</t>
  </si>
  <si>
    <t>5 x per week (52 weken)</t>
  </si>
  <si>
    <t>Gebouw</t>
  </si>
  <si>
    <t>Adres</t>
  </si>
  <si>
    <t>Verdieping</t>
  </si>
  <si>
    <t>Ruimte nummer</t>
  </si>
  <si>
    <t>Ruimteomschrijving opdrachtgever</t>
  </si>
  <si>
    <t>Ruimte categorie</t>
  </si>
  <si>
    <t>Vloer soort</t>
  </si>
  <si>
    <t xml:space="preserve">M2 vloer </t>
  </si>
  <si>
    <t>Totaal frequentie</t>
  </si>
  <si>
    <t>Freq. ma-vr</t>
  </si>
  <si>
    <t>Uren p/j ma t/m vrij</t>
  </si>
  <si>
    <t>Norm ma t/m vr</t>
  </si>
  <si>
    <t>Bijzonderheden / opmerkingen</t>
  </si>
  <si>
    <t>M2 per jaar</t>
  </si>
  <si>
    <t>bg</t>
  </si>
  <si>
    <t>werkkast</t>
  </si>
  <si>
    <t>tegel</t>
  </si>
  <si>
    <t>entree/gang</t>
  </si>
  <si>
    <t>kleedruimte heren</t>
  </si>
  <si>
    <t>toilet heren</t>
  </si>
  <si>
    <t>douches heren</t>
  </si>
  <si>
    <t>douches dames</t>
  </si>
  <si>
    <t>toilet dames</t>
  </si>
  <si>
    <t>kleedruimte dames</t>
  </si>
  <si>
    <t>gymzaal</t>
  </si>
  <si>
    <t>hout</t>
  </si>
  <si>
    <t>kantoor leraar</t>
  </si>
  <si>
    <t>berging</t>
  </si>
  <si>
    <t>toestel berging</t>
  </si>
  <si>
    <t>1e</t>
  </si>
  <si>
    <t>copyruimte</t>
  </si>
  <si>
    <t>pvc</t>
  </si>
  <si>
    <t>kleedruimte</t>
  </si>
  <si>
    <t>r</t>
  </si>
  <si>
    <t>douche</t>
  </si>
  <si>
    <t>gang</t>
  </si>
  <si>
    <t>kantine</t>
  </si>
  <si>
    <t>bg-1e</t>
  </si>
  <si>
    <t>trap</t>
  </si>
  <si>
    <t>hal</t>
  </si>
  <si>
    <t>werkplaats</t>
  </si>
  <si>
    <t>beton</t>
  </si>
  <si>
    <t>kleedruimte werkplaats</t>
  </si>
  <si>
    <t>garderobe werkplaats</t>
  </si>
  <si>
    <t>opslag</t>
  </si>
  <si>
    <t>toiletten voorruimte</t>
  </si>
  <si>
    <t>spreekkamer</t>
  </si>
  <si>
    <t>inloopmat</t>
  </si>
  <si>
    <t>toilet miva</t>
  </si>
  <si>
    <t>groepsruimte</t>
  </si>
  <si>
    <t>toiletruimte binnen</t>
  </si>
  <si>
    <t>toiletten buiten 2x</t>
  </si>
  <si>
    <t>kast</t>
  </si>
  <si>
    <t>opslag/berging</t>
  </si>
  <si>
    <t>overloop</t>
  </si>
  <si>
    <t xml:space="preserve">trap </t>
  </si>
  <si>
    <t xml:space="preserve">entree </t>
  </si>
  <si>
    <t>toilet</t>
  </si>
  <si>
    <t>receptie</t>
  </si>
  <si>
    <t xml:space="preserve">kantoor  </t>
  </si>
  <si>
    <t>kantoor</t>
  </si>
  <si>
    <t>garderobe/copy</t>
  </si>
  <si>
    <t>wasruimte</t>
  </si>
  <si>
    <t>gietvloer</t>
  </si>
  <si>
    <t>keuken</t>
  </si>
  <si>
    <t>toilet dames voorruimte</t>
  </si>
  <si>
    <t>toiletten dames</t>
  </si>
  <si>
    <t>douche dames</t>
  </si>
  <si>
    <t>berging bij kantine</t>
  </si>
  <si>
    <t>garderobe</t>
  </si>
  <si>
    <t>tapijt</t>
  </si>
  <si>
    <t>linoleum</t>
  </si>
  <si>
    <t>gang kleedruimte 1-4</t>
  </si>
  <si>
    <t>leraar</t>
  </si>
  <si>
    <t>toilet/douche leraar</t>
  </si>
  <si>
    <t>kleedruimte 1</t>
  </si>
  <si>
    <t>kleedruimte 1 douches</t>
  </si>
  <si>
    <t>kleedruimte 1 toilet</t>
  </si>
  <si>
    <t>kleedruimte 2</t>
  </si>
  <si>
    <t>kleedruimte 2 douches</t>
  </si>
  <si>
    <t>kleedruimte 2 toilet</t>
  </si>
  <si>
    <t>kleedruimte 3</t>
  </si>
  <si>
    <t>kleedruimte 3 toilet miva</t>
  </si>
  <si>
    <t>kleedruimte 3 toilet</t>
  </si>
  <si>
    <t>kleedruimte 3 douches</t>
  </si>
  <si>
    <t>kleedruimte 4</t>
  </si>
  <si>
    <t>kleedruimte 4 toilet miva</t>
  </si>
  <si>
    <t>kleedruimte 4 toilet</t>
  </si>
  <si>
    <t>kleedruimte 4 douches</t>
  </si>
  <si>
    <t>sportzaal 1</t>
  </si>
  <si>
    <t>toestelberging 1</t>
  </si>
  <si>
    <t>sportzaal 2</t>
  </si>
  <si>
    <t>toestelberging 2</t>
  </si>
  <si>
    <t>noodtrap</t>
  </si>
  <si>
    <t>kleedruimte 5</t>
  </si>
  <si>
    <t>kleedruimte 5 toilet</t>
  </si>
  <si>
    <t>kleedruimte 5 douches</t>
  </si>
  <si>
    <t>kleedruimte 6</t>
  </si>
  <si>
    <t>kleedruimte 6 toilet</t>
  </si>
  <si>
    <t>kleedruimte 6 douches</t>
  </si>
  <si>
    <t>leraar toilet en douche</t>
  </si>
  <si>
    <t>EHBO/opslag</t>
  </si>
  <si>
    <t>gang kleedruimte 5-6</t>
  </si>
  <si>
    <t>lift</t>
  </si>
  <si>
    <t>noppenlino</t>
  </si>
  <si>
    <t>berging bij entree</t>
  </si>
  <si>
    <t>werkkast gang 1-4</t>
  </si>
  <si>
    <t>tribune</t>
  </si>
  <si>
    <t>zitplaatsen</t>
  </si>
  <si>
    <t>verticale deel zitplaatsen</t>
  </si>
  <si>
    <t>vergaderruimte voorruimte</t>
  </si>
  <si>
    <t xml:space="preserve">vergaderruimte   </t>
  </si>
  <si>
    <t>kantoor consultatie</t>
  </si>
  <si>
    <t>wachtruimte babys</t>
  </si>
  <si>
    <t>spreekkamer vissen</t>
  </si>
  <si>
    <t>spreekkamer ooievaar</t>
  </si>
  <si>
    <t>spreekkamer eend</t>
  </si>
  <si>
    <t>spreekkamer haas</t>
  </si>
  <si>
    <t>receptie/wachtruimte</t>
  </si>
  <si>
    <t>hal toiletten</t>
  </si>
  <si>
    <t>achteringang</t>
  </si>
  <si>
    <t>toilet personeel 2x</t>
  </si>
  <si>
    <t>gang rechts</t>
  </si>
  <si>
    <t>spreekkamer 05</t>
  </si>
  <si>
    <t>spreekkamer 04</t>
  </si>
  <si>
    <t>spreekkamer 03</t>
  </si>
  <si>
    <t>spreekkamer 07</t>
  </si>
  <si>
    <t>gang links</t>
  </si>
  <si>
    <t>spreekkamer 06</t>
  </si>
  <si>
    <t>vergaderzaal 02</t>
  </si>
  <si>
    <t>vergaderzaal 01</t>
  </si>
  <si>
    <t>kantoortuin links</t>
  </si>
  <si>
    <t>gang kantoortuin</t>
  </si>
  <si>
    <t>pantry kantoortuin</t>
  </si>
  <si>
    <t>kantoortuin rechts</t>
  </si>
  <si>
    <t>trap 2x</t>
  </si>
  <si>
    <t>toiletten 2x</t>
  </si>
  <si>
    <t>kantoor midden</t>
  </si>
  <si>
    <t>kantoorruimte</t>
  </si>
  <si>
    <t>sanitair</t>
  </si>
  <si>
    <t>Noodtrap</t>
  </si>
  <si>
    <t>trappenhuis</t>
  </si>
  <si>
    <t>toiletten</t>
  </si>
  <si>
    <t>2e</t>
  </si>
  <si>
    <t>3e</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</si>
  <si>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</si>
  <si>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</si>
  <si>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</si>
  <si>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</si>
  <si>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</si>
  <si>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</si>
  <si>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</si>
  <si>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</si>
  <si>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</si>
  <si>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</si>
  <si>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</si>
  <si>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</si>
  <si>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</si>
  <si>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</si>
  <si>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</si>
  <si>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</si>
  <si>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</si>
  <si>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</si>
  <si>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</si>
  <si>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</si>
  <si>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</si>
  <si>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</si>
  <si>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</si>
  <si>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</si>
  <si>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</si>
  <si>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</si>
  <si>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</si>
  <si>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</si>
  <si>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</si>
  <si>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</si>
  <si>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</si>
  <si>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</si>
  <si>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</si>
  <si>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</si>
  <si>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</si>
  <si>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</si>
  <si>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</si>
  <si>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</si>
  <si>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</si>
  <si>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</si>
  <si>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</si>
  <si>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</si>
  <si>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Suppletiekosten toeslag</t>
  </si>
  <si>
    <t>19 jaar</t>
  </si>
  <si>
    <t>Bruto uurloon</t>
  </si>
  <si>
    <t>Vakvolwassen 1 dienstjaar</t>
  </si>
  <si>
    <t xml:space="preserve">Vakantietoeslag </t>
  </si>
  <si>
    <t>Vakvolwassen 2 dienstjaren</t>
  </si>
  <si>
    <t xml:space="preserve">Structurele eindejaarsuitkering </t>
  </si>
  <si>
    <t>Vakvolwassen 3 dienstjaren</t>
  </si>
  <si>
    <t>Bruto uurloon inclusief toeslagen</t>
  </si>
  <si>
    <t>Vakvolwassen 4 dienstjaren</t>
  </si>
  <si>
    <t>SV-loon grondslag voor berekening sociale verzekeringen</t>
  </si>
  <si>
    <t>Percentage per loongroep voor gemiddeld tarief</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</si>
  <si>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</si>
  <si>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</si>
  <si>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</si>
  <si>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</si>
  <si>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</si>
  <si>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</si>
  <si>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</si>
  <si>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</si>
  <si>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Machinekosten</t>
  </si>
  <si>
    <t>Totaal per loongroepen</t>
  </si>
  <si>
    <t>Totaal directe kosten</t>
  </si>
  <si>
    <t>Opbouw gemiddeld tarief</t>
  </si>
  <si>
    <t>Indirect toezicht</t>
  </si>
  <si>
    <t>Managementkosten</t>
  </si>
  <si>
    <t>P.Z. kosten</t>
  </si>
  <si>
    <t>Opleiding</t>
  </si>
  <si>
    <t>Administratiekosten</t>
  </si>
  <si>
    <t>Huisvestingskosten</t>
  </si>
  <si>
    <t>Reiskosten/autokosten</t>
  </si>
  <si>
    <t>Kosten verzuimbegeleiding</t>
  </si>
  <si>
    <t>Totaal indirecte kosten</t>
  </si>
  <si>
    <t>Risico en winst</t>
  </si>
  <si>
    <t>Tarief componenten samenvatting</t>
  </si>
  <si>
    <t>Totaal eindtarief normale werktijden [06.00-21.30 uur]</t>
  </si>
  <si>
    <t>Totaal eindtarief  [incl. 30% toeslag]</t>
  </si>
  <si>
    <t>Totaal eindtarief weekenden [incl. 50% toeslag]</t>
  </si>
  <si>
    <t>Totaal eindtarief feestdagen [incl. 150% toeslag]</t>
  </si>
  <si>
    <t>Tariefopbouw toezicht</t>
  </si>
  <si>
    <t>Gemiddeld tarief  ma t/m vr</t>
  </si>
  <si>
    <t>Tariefsoort</t>
  </si>
  <si>
    <t>Tarief</t>
  </si>
  <si>
    <t>Maandag - Vrijdag</t>
  </si>
  <si>
    <t>Zaterdag - zondag (incl. 50% toeslag conform cao)</t>
  </si>
  <si>
    <t>Feestdagen (incl. 150% toeslag conform cao)</t>
  </si>
  <si>
    <t>…......................................................</t>
  </si>
  <si>
    <t>Omschrijving werkzaamheden</t>
  </si>
  <si>
    <t>Aantal of m2</t>
  </si>
  <si>
    <t>frequentie per jaar</t>
  </si>
  <si>
    <t>uren per m2/ beurt</t>
  </si>
  <si>
    <t>uren per jaar</t>
  </si>
  <si>
    <t>uurtarief</t>
  </si>
  <si>
    <t>kosten per jaar</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</si>
  <si>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</si>
  <si>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</si>
  <si>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</si>
  <si>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</si>
  <si>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</si>
  <si>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</si>
  <si>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</si>
  <si>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</si>
  <si>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</si>
  <si>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</si>
  <si>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</si>
  <si>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</si>
  <si>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</si>
  <si>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</si>
  <si>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</si>
  <si>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</si>
  <si>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</si>
  <si>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</si>
  <si>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</si>
  <si>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</si>
  <si>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</si>
  <si>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</si>
  <si>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</si>
  <si>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</si>
  <si>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</si>
  <si>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</si>
  <si>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Regietarieven</t>
  </si>
  <si>
    <t>Prijs p/uur excl. btw</t>
  </si>
  <si>
    <t>Schoonmaakonderhoud</t>
  </si>
  <si>
    <t>Glazenwasserswerkzaamheden</t>
  </si>
  <si>
    <t>Gladheid bestrijding</t>
  </si>
  <si>
    <t>Tijdstip van uitvoering</t>
  </si>
  <si>
    <t>tarief ma-vr (06.00-21.30 uur)</t>
  </si>
  <si>
    <t>tarief ma-vr nacht (21.30-06.00 uur)</t>
  </si>
  <si>
    <t>Opmerking:</t>
  </si>
  <si>
    <t>Alle prijzen inclusief materialen en middelen, voorrijkosten en overige bijkomende kosten.</t>
  </si>
  <si>
    <t>Mits anders aangegeven is de uitvoering op reguliere werktijden: maandag t/m vrijdag [06.00 en 21.30 uur]</t>
  </si>
  <si>
    <t>Glassoort</t>
  </si>
  <si>
    <t>M² prijs</t>
  </si>
  <si>
    <t>Buitenzijde</t>
  </si>
  <si>
    <t>Binnenzijde</t>
  </si>
  <si>
    <t>Separatieglas dubbelzijdig</t>
  </si>
  <si>
    <t>…………………………………</t>
  </si>
  <si>
    <t>Aanvullende omschrijving</t>
  </si>
  <si>
    <t>Aantal m2</t>
  </si>
  <si>
    <r>
      <t>Kosten per m</t>
    </r>
    <r>
      <rPr>
        <b/>
        <vertAlign val="superscript"/>
        <sz val="10"/>
        <color theme="0"/>
        <rFont val="Century Gothic"/>
        <family val="2"/>
      </rPr>
      <t>2</t>
    </r>
  </si>
  <si>
    <t>Kosten per beurt</t>
  </si>
  <si>
    <t>Frequentie per jaar</t>
  </si>
  <si>
    <t>Totaalkosten per jaar</t>
  </si>
  <si>
    <t>4</t>
  </si>
  <si>
    <t>nr. 11</t>
  </si>
  <si>
    <t>pdek</t>
  </si>
  <si>
    <t>Ne. 13</t>
  </si>
  <si>
    <t>Bereikbaarheidsvoorzieningen</t>
  </si>
  <si>
    <t>Handeling</t>
  </si>
  <si>
    <t>M² prijs (incl uit- en inruimen)</t>
  </si>
  <si>
    <t>Sprayen</t>
  </si>
  <si>
    <t>Schrobben</t>
  </si>
  <si>
    <t>Tapijtreiniging (sproei-extr.)</t>
  </si>
  <si>
    <t>Tapijtreiniging (bonnet)</t>
  </si>
  <si>
    <t>Vloerafwerking</t>
  </si>
  <si>
    <t>Linoleum</t>
  </si>
  <si>
    <t>1</t>
  </si>
  <si>
    <t>nio</t>
  </si>
  <si>
    <t>Tribune</t>
  </si>
  <si>
    <t>Recoaten</t>
  </si>
  <si>
    <t>Hout</t>
  </si>
  <si>
    <t xml:space="preserve">Olieen </t>
  </si>
  <si>
    <t>Grote schoonmaak beurt</t>
  </si>
  <si>
    <t>5 x per week (46 weken)</t>
  </si>
  <si>
    <t>GS-EA-MVD-SW-2023</t>
  </si>
  <si>
    <t>Uurlonen 1 juli 2024</t>
  </si>
  <si>
    <t>Sporthal t’ Crayenest</t>
  </si>
  <si>
    <t>Steen</t>
  </si>
  <si>
    <t>PVC</t>
  </si>
  <si>
    <t>steen</t>
  </si>
  <si>
    <t>linoleum/hout</t>
  </si>
  <si>
    <t>Sporthal de Stoep</t>
  </si>
  <si>
    <t>tussen</t>
  </si>
  <si>
    <t>entree1</t>
  </si>
  <si>
    <t>entree2</t>
  </si>
  <si>
    <t>toilet units 4x</t>
  </si>
  <si>
    <t>toilet 2x klein</t>
  </si>
  <si>
    <t>toilet 1x groot</t>
  </si>
  <si>
    <t xml:space="preserve">hal </t>
  </si>
  <si>
    <t>kleine zaal</t>
  </si>
  <si>
    <t>commentaar</t>
  </si>
  <si>
    <t>entree kleedkamers</t>
  </si>
  <si>
    <t>gang kleedkamers</t>
  </si>
  <si>
    <t>kleedkamer 1</t>
  </si>
  <si>
    <t>Douche 1</t>
  </si>
  <si>
    <t>kleedkamer 2</t>
  </si>
  <si>
    <t>Douche 2</t>
  </si>
  <si>
    <t>kleedkamer 3</t>
  </si>
  <si>
    <t>Douche 3</t>
  </si>
  <si>
    <t>kleedkamer 4</t>
  </si>
  <si>
    <t>Douche 4</t>
  </si>
  <si>
    <t>kleedkamer 5</t>
  </si>
  <si>
    <t>Douche 5</t>
  </si>
  <si>
    <t>kleedkamer 6</t>
  </si>
  <si>
    <t>Douche 6</t>
  </si>
  <si>
    <t>kleedkamer 7</t>
  </si>
  <si>
    <t>Douche 7</t>
  </si>
  <si>
    <t>kleedkamer 8</t>
  </si>
  <si>
    <t>Douche 8</t>
  </si>
  <si>
    <t>Grote zaal</t>
  </si>
  <si>
    <t>EHBO</t>
  </si>
  <si>
    <t>gang achter kleedkamers scheids</t>
  </si>
  <si>
    <t>koffiekamer</t>
  </si>
  <si>
    <t>Miva Toilet</t>
  </si>
  <si>
    <t>mat</t>
  </si>
  <si>
    <t>sportvloer</t>
  </si>
  <si>
    <t>toilet voorportaal</t>
  </si>
  <si>
    <t>vergaderkamer</t>
  </si>
  <si>
    <t>*NME, NME Theehuis en NME Stallen zijn 1 locatie gecombineerd komen zij boven de grens van de minimale taakgrootte</t>
  </si>
  <si>
    <t>*</t>
  </si>
  <si>
    <t>kleinschaligheidstoeslag gedurende vakanties</t>
  </si>
  <si>
    <t>voorcalculatie NVI 1.0 23 november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</si>
</sst>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_-* #,##0_-;_-* #,##0\-;_-* &quot;-&quot;??_-;_-@_-"/>
    <numFmt numFmtId="173" formatCode="000"/>
    <numFmt numFmtId="174" formatCode="0.0%"/>
    <numFmt numFmtId="175" formatCode="0.0"/>
    <numFmt numFmtId="176" formatCode="0.000%"/>
    <numFmt numFmtId="177" formatCode="_-[$€-2]\ * #,##0.00_ ;_-[$€-2]\ * \-#,##0.00\ ;_-[$€-2]\ * &quot;-&quot;??_ ;_-@_ "/>
    <numFmt numFmtId="178" formatCode="_([$€-2]\ * #,##0.00_);_([$€-2]\ * \(#,##0.00\);_([$€-2]\ * &quot;-&quot;??_);_(@_)"/>
    <numFmt numFmtId="179" formatCode="_ [$€-413]\ * #,##0.00_ ;_ [$€-413]\ * \-#,##0.00_ ;_ [$€-413]\ * &quot;-&quot;??_ ;_ @_ "/>
    <numFmt numFmtId="180" formatCode="0.0000000"/>
    <numFmt numFmtId="181" formatCode="_-* #,##0.0_-;_-* #,##0.0\-;_-* &quot;-&quot;??_-;_-@_-"/>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quot;Fl.&quot;#,##0.00;[Red]\-&quot;Fl.&quot;#,##0.00"/>
    <numFmt numFmtId="189" formatCode="&quot;Fl.&quot;#,##0_);[Red]\(&quot;Fl.&quot;#,##0\)"/>
    <numFmt numFmtId="190" formatCode="_-\F* #,##0.00_-;\-\F* #,##0.00_-;_-\F* &quot;-&quot;??_-;_-@_-"/>
    <numFmt numFmtId="191" formatCode="&quot;fl&quot;\ #,##0_-;[Red]&quot;fl&quot;\ #,##0\-"/>
    <numFmt numFmtId="192" formatCode="_-\€\ * #,##0.00"/>
    <numFmt numFmtId="193" formatCode="0\ &quot;m2&quot;"/>
    <numFmt numFmtId="194" formatCode="_-&quot;F&quot;\ * #,##0.00_-;_-&quot;F&quot;\ * #,##0.00\-;_-&quot;F&quot;\ * &quot;-&quot;??_-;_-@_-"/>
  </numFmts>
  <fonts count="114">
    <font>
      <sz val="10"/>
      <name val="MS Sans Serif"/>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b/>
      <sz val="9"/>
      <color indexed="81"/>
      <name val="Tahoma"/>
      <family val="2"/>
    </font>
    <font>
      <b/>
      <u/>
      <sz val="10"/>
      <color rgb="FFFF0000"/>
      <name val="Century Gothic"/>
      <family val="2"/>
    </font>
    <font>
      <sz val="10"/>
      <color theme="0" tint="-0.499984740745262"/>
      <name val="Century Gothic"/>
      <family val="2"/>
    </font>
    <font>
      <b/>
      <u/>
      <sz val="10"/>
      <name val="Century Gothic"/>
      <family val="2"/>
    </font>
    <font>
      <u/>
      <sz val="9"/>
      <name val="Century Gothic"/>
      <family val="2"/>
    </font>
    <font>
      <sz val="8"/>
      <name val="MS Sans Serif"/>
    </font>
    <font>
      <b/>
      <sz val="10"/>
      <color rgb="FFFF0000"/>
      <name val="MS Sans Serif"/>
    </font>
    <font>
      <sz val="9"/>
      <color rgb="FFFF0000"/>
      <name val="Century Gothic"/>
      <family val="2"/>
    </font>
  </fonts>
  <fills count="6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FFFF00"/>
        <bgColor indexed="64"/>
      </patternFill>
    </fill>
    <fill>
      <patternFill patternType="solid">
        <fgColor theme="1" tint="0.249977111117893"/>
        <bgColor indexed="64"/>
      </patternFill>
    </fill>
    <fill>
      <patternFill patternType="solid">
        <fgColor theme="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s>
  <cellStyleXfs count="52886">
    <xf numFmtId="0" fontId="0" fillId="0" borderId="0"/>
    <xf numFmtId="164"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7" applyNumberFormat="0" applyFill="0" applyAlignment="0" applyProtection="0"/>
    <xf numFmtId="0" fontId="17" fillId="0" borderId="8"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0" applyNumberFormat="0" applyAlignment="0" applyProtection="0"/>
    <xf numFmtId="0" fontId="23" fillId="7" borderId="11" applyNumberFormat="0" applyAlignment="0" applyProtection="0"/>
    <xf numFmtId="0" fontId="24" fillId="7" borderId="10" applyNumberFormat="0" applyAlignment="0" applyProtection="0"/>
    <xf numFmtId="0" fontId="25" fillId="0" borderId="12" applyNumberFormat="0" applyFill="0" applyAlignment="0" applyProtection="0"/>
    <xf numFmtId="0" fontId="26" fillId="8" borderId="1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15"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14"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2"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3" fontId="32" fillId="0" borderId="0" applyFont="0" applyFill="0" applyBorder="0" applyAlignment="0" applyProtection="0"/>
    <xf numFmtId="183" fontId="32" fillId="0" borderId="0" applyFont="0" applyFill="0" applyBorder="0" applyAlignment="0" applyProtection="0"/>
    <xf numFmtId="184" fontId="8" fillId="0" borderId="0" applyFont="0" applyFill="0" applyBorder="0" applyAlignment="0" applyProtection="0"/>
    <xf numFmtId="182"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5"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17" applyNumberFormat="0" applyAlignment="0" applyProtection="0"/>
    <xf numFmtId="0" fontId="8" fillId="0" borderId="0"/>
    <xf numFmtId="0" fontId="41" fillId="55" borderId="17" applyNumberFormat="0" applyAlignment="0" applyProtection="0"/>
    <xf numFmtId="0" fontId="42" fillId="56" borderId="18" applyNumberFormat="0" applyAlignment="0" applyProtection="0"/>
    <xf numFmtId="0" fontId="42" fillId="56" borderId="18" applyNumberFormat="0" applyAlignment="0" applyProtection="0"/>
    <xf numFmtId="0" fontId="43" fillId="0" borderId="0" applyNumberFormat="0" applyFill="0" applyBorder="0" applyAlignment="0" applyProtection="0"/>
    <xf numFmtId="0" fontId="44" fillId="0" borderId="19"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0" applyNumberFormat="0" applyFill="0" applyAlignment="0" applyProtection="0"/>
    <xf numFmtId="0" fontId="47" fillId="0" borderId="21" applyNumberFormat="0" applyFill="0" applyAlignment="0" applyProtection="0"/>
    <xf numFmtId="0" fontId="48" fillId="0" borderId="22" applyNumberFormat="0" applyFill="0" applyAlignment="0" applyProtection="0"/>
    <xf numFmtId="0" fontId="48" fillId="0" borderId="0" applyNumberFormat="0" applyFill="0" applyBorder="0" applyAlignment="0" applyProtection="0"/>
    <xf numFmtId="0" fontId="49" fillId="57" borderId="17" applyNumberFormat="0" applyAlignment="0" applyProtection="0"/>
    <xf numFmtId="0" fontId="36" fillId="58" borderId="1"/>
    <xf numFmtId="0" fontId="50" fillId="0" borderId="23" applyNumberFormat="0" applyFill="0" applyAlignment="0" applyProtection="0"/>
    <xf numFmtId="0" fontId="51" fillId="0" borderId="24" applyNumberFormat="0" applyFill="0" applyAlignment="0" applyProtection="0"/>
    <xf numFmtId="0" fontId="52" fillId="0" borderId="25"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26"/>
    <xf numFmtId="0" fontId="55" fillId="0" borderId="27" applyNumberFormat="0" applyFill="0" applyAlignment="0" applyProtection="0"/>
    <xf numFmtId="188"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28" applyNumberFormat="0" applyFont="0" applyAlignment="0" applyProtection="0"/>
    <xf numFmtId="0" fontId="35" fillId="59" borderId="28" applyNumberFormat="0" applyFont="0" applyAlignment="0" applyProtection="0"/>
    <xf numFmtId="0" fontId="57" fillId="37" borderId="0" applyNumberFormat="0" applyBorder="0" applyAlignment="0" applyProtection="0"/>
    <xf numFmtId="0" fontId="58" fillId="55" borderId="29" applyNumberFormat="0" applyAlignment="0" applyProtection="0"/>
    <xf numFmtId="0" fontId="54" fillId="60" borderId="30"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1" applyNumberFormat="0" applyFill="0" applyAlignment="0" applyProtection="0"/>
    <xf numFmtId="0" fontId="61" fillId="0" borderId="32" applyNumberFormat="0" applyFill="0" applyAlignment="0" applyProtection="0"/>
    <xf numFmtId="0" fontId="58" fillId="54" borderId="29" applyNumberFormat="0" applyAlignment="0" applyProtection="0"/>
    <xf numFmtId="189" fontId="4" fillId="0" borderId="0"/>
    <xf numFmtId="190"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1" fontId="6"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92" fontId="36" fillId="0" borderId="0"/>
    <xf numFmtId="192"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26"/>
    <xf numFmtId="193"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4" fontId="8" fillId="0" borderId="0" applyFont="0" applyFill="0" applyBorder="0" applyAlignment="0" applyProtection="0"/>
  </cellStyleXfs>
  <cellXfs count="468">
    <xf numFmtId="0" fontId="0" fillId="0" borderId="0" xfId="0"/>
    <xf numFmtId="0" fontId="65" fillId="0" borderId="0" xfId="0" applyFont="1"/>
    <xf numFmtId="0" fontId="67" fillId="0" borderId="0" xfId="13" applyFont="1" applyProtection="1">
      <protection hidden="1"/>
    </xf>
    <xf numFmtId="0" fontId="67" fillId="0" borderId="0" xfId="0" applyFont="1"/>
    <xf numFmtId="2" fontId="67" fillId="0" borderId="0" xfId="11" applyNumberFormat="1" applyFont="1" applyProtection="1">
      <protection hidden="1"/>
    </xf>
    <xf numFmtId="0" fontId="67" fillId="0" borderId="0" xfId="13" applyFont="1" applyAlignment="1" applyProtection="1">
      <alignment vertical="center"/>
      <protection hidden="1"/>
    </xf>
    <xf numFmtId="0" fontId="68" fillId="0" borderId="0" xfId="13" applyFont="1" applyAlignment="1" applyProtection="1">
      <alignment horizontal="right" vertical="center"/>
      <protection hidden="1"/>
    </xf>
    <xf numFmtId="175" fontId="67" fillId="0" borderId="0" xfId="13" applyNumberFormat="1" applyFont="1" applyAlignment="1" applyProtection="1">
      <alignment vertical="center"/>
      <protection hidden="1"/>
    </xf>
    <xf numFmtId="0" fontId="66" fillId="0" borderId="0" xfId="13" applyFont="1" applyAlignment="1" applyProtection="1">
      <alignment horizontal="left" vertical="center"/>
      <protection hidden="1"/>
    </xf>
    <xf numFmtId="0" fontId="71" fillId="0" borderId="0" xfId="13" applyFont="1" applyAlignment="1" applyProtection="1">
      <alignment vertical="center"/>
      <protection hidden="1"/>
    </xf>
    <xf numFmtId="2" fontId="67" fillId="0" borderId="0" xfId="0" applyNumberFormat="1" applyFont="1" applyAlignment="1">
      <alignment vertical="center"/>
    </xf>
    <xf numFmtId="175" fontId="73" fillId="0" borderId="0" xfId="13" applyNumberFormat="1" applyFont="1" applyAlignment="1" applyProtection="1">
      <alignment vertical="center"/>
      <protection hidden="1"/>
    </xf>
    <xf numFmtId="176" fontId="67" fillId="0" borderId="0" xfId="13" applyNumberFormat="1" applyFont="1" applyAlignment="1" applyProtection="1">
      <alignment horizontal="right" vertical="center"/>
      <protection hidden="1"/>
    </xf>
    <xf numFmtId="0" fontId="67" fillId="0" borderId="0" xfId="13" applyFont="1" applyAlignment="1" applyProtection="1">
      <alignment horizontal="right" vertical="center"/>
      <protection hidden="1"/>
    </xf>
    <xf numFmtId="0" fontId="75" fillId="0" borderId="0" xfId="13" applyFont="1" applyProtection="1">
      <protection hidden="1"/>
    </xf>
    <xf numFmtId="2" fontId="82" fillId="0" borderId="0" xfId="63" applyNumberFormat="1" applyFont="1"/>
    <xf numFmtId="0" fontId="67" fillId="0" borderId="0" xfId="89" applyFont="1"/>
    <xf numFmtId="172" fontId="72" fillId="0" borderId="0" xfId="8" applyNumberFormat="1" applyFont="1" applyAlignment="1">
      <alignment horizontal="center"/>
    </xf>
    <xf numFmtId="2" fontId="77" fillId="0" borderId="0" xfId="12" applyNumberFormat="1" applyFont="1"/>
    <xf numFmtId="0" fontId="69" fillId="0" borderId="0" xfId="89" applyFont="1"/>
    <xf numFmtId="0" fontId="72" fillId="0" borderId="0" xfId="89" applyFont="1"/>
    <xf numFmtId="167" fontId="67" fillId="0" borderId="0" xfId="8" applyFont="1"/>
    <xf numFmtId="2" fontId="80" fillId="61" borderId="33" xfId="89" applyNumberFormat="1" applyFont="1" applyFill="1" applyBorder="1" applyAlignment="1">
      <alignment vertical="top" wrapText="1"/>
    </xf>
    <xf numFmtId="167" fontId="80" fillId="61" borderId="33" xfId="8" applyFont="1" applyFill="1" applyBorder="1" applyAlignment="1">
      <alignment horizontal="center" vertical="top" wrapText="1"/>
    </xf>
    <xf numFmtId="2" fontId="81" fillId="0" borderId="0" xfId="12" applyNumberFormat="1" applyFont="1"/>
    <xf numFmtId="187" fontId="83" fillId="0" borderId="0" xfId="63" applyNumberFormat="1" applyFont="1" applyAlignment="1">
      <alignment horizontal="left"/>
    </xf>
    <xf numFmtId="0" fontId="67" fillId="0" borderId="0" xfId="0" applyFont="1" applyAlignment="1">
      <alignment horizontal="center" vertical="center"/>
    </xf>
    <xf numFmtId="0" fontId="67" fillId="0" borderId="0" xfId="17" applyFont="1" applyAlignment="1">
      <alignment horizontal="center"/>
    </xf>
    <xf numFmtId="2" fontId="67" fillId="0" borderId="0" xfId="8" applyNumberFormat="1" applyFont="1" applyAlignment="1">
      <alignment horizontal="left"/>
    </xf>
    <xf numFmtId="3" fontId="67" fillId="0" borderId="0" xfId="8" applyNumberFormat="1" applyFont="1" applyAlignment="1">
      <alignment horizontal="right"/>
    </xf>
    <xf numFmtId="167" fontId="67" fillId="0" borderId="0" xfId="8" applyFont="1" applyAlignment="1">
      <alignment horizontal="right"/>
    </xf>
    <xf numFmtId="0" fontId="67" fillId="0" borderId="0" xfId="17" applyFont="1"/>
    <xf numFmtId="0" fontId="71" fillId="0" borderId="0" xfId="17" applyFont="1"/>
    <xf numFmtId="2" fontId="82" fillId="0" borderId="0" xfId="12" applyNumberFormat="1" applyFont="1"/>
    <xf numFmtId="0" fontId="67" fillId="0" borderId="0" xfId="0" applyFont="1" applyAlignment="1">
      <alignment horizontal="center"/>
    </xf>
    <xf numFmtId="0" fontId="69" fillId="0" borderId="0" xfId="0" applyFont="1" applyAlignment="1">
      <alignment horizontal="center"/>
    </xf>
    <xf numFmtId="2" fontId="75" fillId="0" borderId="0" xfId="0" applyNumberFormat="1" applyFont="1"/>
    <xf numFmtId="2" fontId="72" fillId="0" borderId="0" xfId="0" applyNumberFormat="1" applyFont="1" applyAlignment="1">
      <alignment horizontal="center"/>
    </xf>
    <xf numFmtId="2" fontId="72" fillId="0" borderId="0" xfId="0" applyNumberFormat="1" applyFont="1" applyAlignment="1">
      <alignment horizontal="left"/>
    </xf>
    <xf numFmtId="2" fontId="72" fillId="0" borderId="0" xfId="0" applyNumberFormat="1" applyFont="1"/>
    <xf numFmtId="0" fontId="72" fillId="0" borderId="0" xfId="0" applyFont="1"/>
    <xf numFmtId="1" fontId="72" fillId="0" borderId="0" xfId="0" applyNumberFormat="1" applyFont="1" applyAlignment="1">
      <alignment horizontal="center"/>
    </xf>
    <xf numFmtId="0" fontId="86" fillId="0" borderId="0" xfId="0" applyFont="1"/>
    <xf numFmtId="167" fontId="72" fillId="0" borderId="0" xfId="8" applyFont="1"/>
    <xf numFmtId="2" fontId="81" fillId="0" borderId="0" xfId="0" applyNumberFormat="1" applyFont="1" applyAlignment="1">
      <alignment horizontal="left"/>
    </xf>
    <xf numFmtId="2" fontId="77" fillId="0" borderId="0" xfId="12" applyNumberFormat="1" applyFont="1" applyAlignment="1">
      <alignment horizontal="left"/>
    </xf>
    <xf numFmtId="0" fontId="69" fillId="0" borderId="0" xfId="0" applyFont="1"/>
    <xf numFmtId="173" fontId="67" fillId="0" borderId="4" xfId="0" applyNumberFormat="1" applyFont="1" applyBorder="1" applyAlignment="1">
      <alignment horizontal="left"/>
    </xf>
    <xf numFmtId="0" fontId="67" fillId="0" borderId="4" xfId="0" applyFont="1" applyBorder="1"/>
    <xf numFmtId="2" fontId="67" fillId="0" borderId="0" xfId="0" applyNumberFormat="1" applyFont="1"/>
    <xf numFmtId="1" fontId="67" fillId="0" borderId="0" xfId="0" applyNumberFormat="1" applyFont="1" applyAlignment="1">
      <alignment horizontal="center"/>
    </xf>
    <xf numFmtId="173" fontId="67" fillId="0" borderId="0" xfId="0" applyNumberFormat="1" applyFont="1" applyAlignment="1">
      <alignment horizontal="left"/>
    </xf>
    <xf numFmtId="0" fontId="67" fillId="0" borderId="0" xfId="8" applyNumberFormat="1" applyFont="1" applyFill="1" applyBorder="1" applyAlignment="1"/>
    <xf numFmtId="2" fontId="67" fillId="0" borderId="0" xfId="0" applyNumberFormat="1" applyFont="1" applyAlignment="1">
      <alignment horizontal="right"/>
    </xf>
    <xf numFmtId="43" fontId="69" fillId="0" borderId="0" xfId="8" applyNumberFormat="1" applyFont="1" applyFill="1" applyBorder="1" applyAlignment="1">
      <alignment horizontal="center"/>
    </xf>
    <xf numFmtId="167" fontId="69" fillId="0" borderId="0" xfId="8" applyFont="1" applyFill="1" applyBorder="1" applyAlignment="1">
      <alignment horizontal="center"/>
    </xf>
    <xf numFmtId="2" fontId="69" fillId="0" borderId="0" xfId="8" applyNumberFormat="1" applyFont="1" applyFill="1" applyBorder="1" applyAlignment="1">
      <alignment horizontal="center"/>
    </xf>
    <xf numFmtId="0" fontId="85" fillId="0" borderId="0" xfId="0" applyFont="1"/>
    <xf numFmtId="0" fontId="69" fillId="0" borderId="0" xfId="13" applyFont="1" applyProtection="1">
      <protection hidden="1"/>
    </xf>
    <xf numFmtId="0" fontId="72" fillId="0" borderId="0" xfId="0" applyFont="1" applyAlignment="1">
      <alignment horizontal="center"/>
    </xf>
    <xf numFmtId="0" fontId="67" fillId="0" borderId="0" xfId="0" applyFont="1" applyAlignment="1">
      <alignment vertical="center"/>
    </xf>
    <xf numFmtId="2" fontId="67" fillId="0" borderId="0" xfId="13" applyNumberFormat="1" applyFont="1" applyAlignment="1" applyProtection="1">
      <alignment vertical="center"/>
      <protection hidden="1"/>
    </xf>
    <xf numFmtId="2" fontId="77" fillId="0" borderId="0" xfId="13" applyNumberFormat="1" applyFont="1" applyAlignment="1" applyProtection="1">
      <alignment vertical="center"/>
      <protection locked="0"/>
    </xf>
    <xf numFmtId="2" fontId="67" fillId="0" borderId="3" xfId="11" applyNumberFormat="1" applyFont="1" applyBorder="1" applyProtection="1">
      <protection hidden="1"/>
    </xf>
    <xf numFmtId="176" fontId="67" fillId="2" borderId="0" xfId="11" applyNumberFormat="1" applyFont="1" applyFill="1" applyAlignment="1" applyProtection="1">
      <alignment vertical="center"/>
      <protection hidden="1"/>
    </xf>
    <xf numFmtId="0" fontId="66" fillId="0" borderId="3" xfId="13" applyFont="1" applyBorder="1" applyAlignment="1" applyProtection="1">
      <alignment horizontal="left" vertical="center"/>
      <protection hidden="1"/>
    </xf>
    <xf numFmtId="178" fontId="71" fillId="0" borderId="6" xfId="13" applyNumberFormat="1" applyFont="1" applyBorder="1" applyAlignment="1" applyProtection="1">
      <alignment horizontal="left" vertical="center"/>
      <protection hidden="1"/>
    </xf>
    <xf numFmtId="0" fontId="67" fillId="0" borderId="2" xfId="0" applyFont="1" applyBorder="1"/>
    <xf numFmtId="10" fontId="71" fillId="0" borderId="0" xfId="16" applyNumberFormat="1" applyFont="1" applyFill="1" applyBorder="1" applyAlignment="1" applyProtection="1">
      <alignment horizontal="right" vertical="center"/>
      <protection hidden="1"/>
    </xf>
    <xf numFmtId="180" fontId="67" fillId="0" borderId="0" xfId="11" applyNumberFormat="1" applyFont="1" applyProtection="1">
      <protection hidden="1"/>
    </xf>
    <xf numFmtId="10" fontId="66" fillId="0" borderId="0" xfId="16" applyNumberFormat="1" applyFont="1" applyFill="1" applyBorder="1" applyAlignment="1"/>
    <xf numFmtId="178" fontId="67" fillId="0" borderId="0" xfId="13" applyNumberFormat="1" applyFont="1" applyAlignment="1" applyProtection="1">
      <alignment vertical="center"/>
      <protection hidden="1"/>
    </xf>
    <xf numFmtId="0" fontId="65" fillId="0" borderId="0" xfId="0" applyFont="1" applyAlignment="1">
      <alignment horizontal="left" indent="3"/>
    </xf>
    <xf numFmtId="0" fontId="65" fillId="0" borderId="0" xfId="0" applyFont="1" applyAlignment="1">
      <alignment horizontal="left" indent="1"/>
    </xf>
    <xf numFmtId="179" fontId="65" fillId="0" borderId="0" xfId="0" applyNumberFormat="1" applyFont="1"/>
    <xf numFmtId="178" fontId="65" fillId="0" borderId="0" xfId="0" applyNumberFormat="1" applyFont="1"/>
    <xf numFmtId="0" fontId="89" fillId="0" borderId="0" xfId="13" applyFont="1" applyProtection="1">
      <protection hidden="1"/>
    </xf>
    <xf numFmtId="0" fontId="89" fillId="0" borderId="0" xfId="13" applyFont="1" applyAlignment="1" applyProtection="1">
      <alignment horizontal="center"/>
      <protection hidden="1"/>
    </xf>
    <xf numFmtId="0" fontId="89" fillId="0" borderId="0" xfId="13" applyFont="1" applyAlignment="1" applyProtection="1">
      <alignment horizontal="right"/>
      <protection hidden="1"/>
    </xf>
    <xf numFmtId="169" fontId="89" fillId="0" borderId="0" xfId="3" applyFont="1" applyFill="1" applyBorder="1" applyAlignment="1" applyProtection="1">
      <alignment horizontal="center"/>
      <protection hidden="1"/>
    </xf>
    <xf numFmtId="174" fontId="89" fillId="0" borderId="0" xfId="3" applyNumberFormat="1" applyFont="1" applyFill="1" applyBorder="1" applyAlignment="1" applyProtection="1">
      <alignment horizontal="center"/>
      <protection hidden="1"/>
    </xf>
    <xf numFmtId="2" fontId="77" fillId="0" borderId="0" xfId="0" applyNumberFormat="1" applyFont="1"/>
    <xf numFmtId="174" fontId="90" fillId="0" borderId="0" xfId="0" applyNumberFormat="1" applyFont="1" applyAlignment="1">
      <alignment horizontal="center" vertical="center"/>
    </xf>
    <xf numFmtId="1" fontId="78" fillId="0" borderId="0" xfId="0" applyNumberFormat="1" applyFont="1" applyAlignment="1">
      <alignment horizontal="left"/>
    </xf>
    <xf numFmtId="2" fontId="91" fillId="0" borderId="0" xfId="13" applyNumberFormat="1" applyFont="1" applyAlignment="1" applyProtection="1">
      <alignment horizontal="right"/>
      <protection hidden="1"/>
    </xf>
    <xf numFmtId="2" fontId="91" fillId="0" borderId="0" xfId="13" applyNumberFormat="1" applyFont="1" applyAlignment="1" applyProtection="1">
      <alignment horizontal="center"/>
      <protection hidden="1"/>
    </xf>
    <xf numFmtId="0" fontId="67" fillId="0" borderId="0" xfId="0" applyFont="1" applyAlignment="1">
      <alignment vertical="top" wrapText="1"/>
    </xf>
    <xf numFmtId="174" fontId="73" fillId="0" borderId="0" xfId="0" applyNumberFormat="1" applyFont="1" applyAlignment="1">
      <alignment horizontal="center" vertical="center"/>
    </xf>
    <xf numFmtId="2" fontId="91" fillId="0" borderId="0" xfId="13" applyNumberFormat="1" applyFont="1" applyAlignment="1" applyProtection="1">
      <alignment horizontal="center" wrapText="1"/>
      <protection hidden="1"/>
    </xf>
    <xf numFmtId="0" fontId="67" fillId="0" borderId="0" xfId="0" applyFont="1" applyAlignment="1">
      <alignment horizontal="center" wrapText="1"/>
    </xf>
    <xf numFmtId="174" fontId="73" fillId="0" borderId="5" xfId="0" applyNumberFormat="1" applyFont="1" applyBorder="1" applyAlignment="1">
      <alignment horizontal="center" vertical="center"/>
    </xf>
    <xf numFmtId="2" fontId="97" fillId="0" borderId="0" xfId="13" applyNumberFormat="1" applyFont="1" applyAlignment="1" applyProtection="1">
      <alignment horizontal="center"/>
      <protection hidden="1"/>
    </xf>
    <xf numFmtId="174" fontId="69" fillId="0" borderId="5" xfId="0" applyNumberFormat="1" applyFont="1" applyBorder="1" applyAlignment="1">
      <alignment horizontal="center" vertical="center"/>
    </xf>
    <xf numFmtId="174" fontId="67" fillId="0" borderId="5" xfId="0" applyNumberFormat="1" applyFont="1" applyBorder="1"/>
    <xf numFmtId="0" fontId="98" fillId="0" borderId="0" xfId="0" applyFont="1"/>
    <xf numFmtId="174" fontId="67" fillId="0" borderId="0" xfId="0" applyNumberFormat="1" applyFont="1"/>
    <xf numFmtId="178" fontId="69" fillId="0" borderId="0" xfId="0" applyNumberFormat="1" applyFont="1"/>
    <xf numFmtId="0" fontId="94" fillId="0" borderId="0" xfId="0" applyFont="1"/>
    <xf numFmtId="0" fontId="94" fillId="0" borderId="5" xfId="0" applyFont="1" applyBorder="1" applyAlignment="1">
      <alignment horizontal="right"/>
    </xf>
    <xf numFmtId="0" fontId="94" fillId="0" borderId="0" xfId="0" applyFont="1" applyAlignment="1">
      <alignment horizontal="right"/>
    </xf>
    <xf numFmtId="174" fontId="69" fillId="0" borderId="0" xfId="0" applyNumberFormat="1" applyFont="1"/>
    <xf numFmtId="0" fontId="69" fillId="0" borderId="0" xfId="0" applyFont="1" applyAlignment="1">
      <alignment horizontal="right"/>
    </xf>
    <xf numFmtId="2" fontId="81" fillId="0" borderId="0" xfId="0" applyNumberFormat="1" applyFont="1"/>
    <xf numFmtId="2" fontId="82" fillId="0" borderId="0" xfId="0" applyNumberFormat="1" applyFont="1"/>
    <xf numFmtId="0" fontId="99" fillId="0" borderId="0" xfId="13" applyFont="1" applyAlignment="1" applyProtection="1">
      <alignment horizontal="right"/>
      <protection hidden="1"/>
    </xf>
    <xf numFmtId="1" fontId="82" fillId="0" borderId="0" xfId="0" applyNumberFormat="1" applyFont="1" applyAlignment="1">
      <alignment horizontal="left"/>
    </xf>
    <xf numFmtId="2" fontId="99" fillId="0" borderId="0" xfId="13" applyNumberFormat="1" applyFont="1" applyAlignment="1" applyProtection="1">
      <alignment horizontal="right"/>
      <protection hidden="1"/>
    </xf>
    <xf numFmtId="0" fontId="70" fillId="0" borderId="0" xfId="0" applyFont="1"/>
    <xf numFmtId="0" fontId="70" fillId="0" borderId="0" xfId="0" applyFont="1" applyAlignment="1">
      <alignment wrapText="1"/>
    </xf>
    <xf numFmtId="0" fontId="98" fillId="0" borderId="0" xfId="10" applyFont="1"/>
    <xf numFmtId="178" fontId="98" fillId="0" borderId="0" xfId="10" applyNumberFormat="1" applyFont="1"/>
    <xf numFmtId="2" fontId="98" fillId="0" borderId="0" xfId="10" applyNumberFormat="1" applyFont="1"/>
    <xf numFmtId="2" fontId="77" fillId="0" borderId="0" xfId="10" applyNumberFormat="1" applyFont="1" applyAlignment="1">
      <alignment vertical="center"/>
    </xf>
    <xf numFmtId="2" fontId="77" fillId="0" borderId="0" xfId="10" applyNumberFormat="1" applyFont="1" applyAlignment="1">
      <alignment horizontal="right" vertical="center"/>
    </xf>
    <xf numFmtId="2" fontId="78" fillId="0" borderId="0" xfId="10" applyNumberFormat="1" applyFont="1" applyAlignment="1">
      <alignment vertical="center"/>
    </xf>
    <xf numFmtId="0" fontId="73" fillId="0" borderId="0" xfId="14" applyFont="1"/>
    <xf numFmtId="2" fontId="73" fillId="0" borderId="0" xfId="14" applyNumberFormat="1" applyFont="1"/>
    <xf numFmtId="0" fontId="67" fillId="0" borderId="0" xfId="10" applyFont="1"/>
    <xf numFmtId="0" fontId="67" fillId="0" borderId="2" xfId="10" applyFont="1" applyBorder="1"/>
    <xf numFmtId="0" fontId="67" fillId="0" borderId="0" xfId="0" applyFont="1" applyAlignment="1">
      <alignment horizontal="left" vertical="center" indent="6"/>
    </xf>
    <xf numFmtId="0" fontId="72" fillId="0" borderId="0" xfId="9" applyFont="1" applyAlignment="1" applyProtection="1">
      <alignment horizontal="left" vertical="center"/>
      <protection hidden="1"/>
    </xf>
    <xf numFmtId="0" fontId="100" fillId="0" borderId="0" xfId="9" applyFont="1" applyAlignment="1" applyProtection="1">
      <alignment horizontal="left" vertical="center"/>
      <protection hidden="1"/>
    </xf>
    <xf numFmtId="0" fontId="69" fillId="0" borderId="0" xfId="13" applyFont="1" applyAlignment="1" applyProtection="1">
      <alignment horizontal="center"/>
      <protection hidden="1"/>
    </xf>
    <xf numFmtId="172" fontId="67" fillId="0" borderId="0" xfId="8" applyNumberFormat="1" applyFont="1" applyFill="1" applyAlignment="1" applyProtection="1">
      <protection hidden="1"/>
    </xf>
    <xf numFmtId="0" fontId="67" fillId="0" borderId="0" xfId="84" applyFont="1"/>
    <xf numFmtId="0" fontId="68" fillId="0" borderId="0" xfId="13" applyFont="1" applyProtection="1">
      <protection hidden="1"/>
    </xf>
    <xf numFmtId="174" fontId="68" fillId="0" borderId="0" xfId="3" applyNumberFormat="1" applyFont="1" applyFill="1" applyBorder="1" applyAlignment="1" applyProtection="1">
      <alignment horizontal="center"/>
      <protection hidden="1"/>
    </xf>
    <xf numFmtId="169" fontId="68" fillId="0" borderId="0" xfId="3" applyFont="1" applyFill="1" applyBorder="1" applyAlignment="1" applyProtection="1">
      <alignment horizontal="center"/>
      <protection hidden="1"/>
    </xf>
    <xf numFmtId="0" fontId="68" fillId="0" borderId="0" xfId="13" applyFont="1" applyAlignment="1" applyProtection="1">
      <alignment horizontal="center"/>
      <protection hidden="1"/>
    </xf>
    <xf numFmtId="0" fontId="67" fillId="0" borderId="0" xfId="84" applyFont="1" applyAlignment="1">
      <alignment horizontal="center" vertical="center"/>
    </xf>
    <xf numFmtId="174" fontId="67" fillId="0" borderId="0" xfId="84" applyNumberFormat="1" applyFont="1" applyAlignment="1">
      <alignment horizontal="center" vertical="center"/>
    </xf>
    <xf numFmtId="2" fontId="77" fillId="0" borderId="0" xfId="84" applyNumberFormat="1" applyFont="1"/>
    <xf numFmtId="172" fontId="68" fillId="0" borderId="0" xfId="8" applyNumberFormat="1" applyFont="1" applyFill="1" applyBorder="1" applyAlignment="1" applyProtection="1">
      <alignment horizontal="center"/>
      <protection hidden="1"/>
    </xf>
    <xf numFmtId="0" fontId="67" fillId="0" borderId="0" xfId="103" applyFont="1"/>
    <xf numFmtId="0" fontId="67" fillId="0" borderId="0" xfId="103" applyFont="1" applyAlignment="1">
      <alignment horizontal="center"/>
    </xf>
    <xf numFmtId="172" fontId="67" fillId="0" borderId="0" xfId="8" applyNumberFormat="1" applyFont="1"/>
    <xf numFmtId="167" fontId="67" fillId="0" borderId="0" xfId="105" applyFont="1"/>
    <xf numFmtId="2" fontId="99" fillId="0" borderId="0" xfId="13" applyNumberFormat="1" applyFont="1" applyAlignment="1" applyProtection="1">
      <alignment horizontal="center"/>
      <protection hidden="1"/>
    </xf>
    <xf numFmtId="178" fontId="72" fillId="0" borderId="4" xfId="5" applyNumberFormat="1" applyFont="1" applyFill="1" applyBorder="1" applyAlignment="1" applyProtection="1">
      <protection hidden="1"/>
    </xf>
    <xf numFmtId="174" fontId="67" fillId="0" borderId="6" xfId="0" applyNumberFormat="1" applyFont="1" applyBorder="1" applyAlignment="1">
      <alignment horizontal="center" vertical="center"/>
    </xf>
    <xf numFmtId="174" fontId="67" fillId="0" borderId="5" xfId="0" applyNumberFormat="1" applyFont="1" applyBorder="1" applyAlignment="1">
      <alignment horizontal="center" vertical="center"/>
    </xf>
    <xf numFmtId="0" fontId="72" fillId="0" borderId="0" xfId="17" applyFont="1"/>
    <xf numFmtId="2" fontId="104" fillId="0" borderId="0" xfId="12" applyNumberFormat="1" applyFont="1"/>
    <xf numFmtId="0" fontId="67" fillId="62" borderId="2" xfId="10" applyFont="1" applyFill="1" applyBorder="1"/>
    <xf numFmtId="2" fontId="67" fillId="0" borderId="0" xfId="13" applyNumberFormat="1" applyFont="1" applyProtection="1">
      <protection hidden="1"/>
    </xf>
    <xf numFmtId="166" fontId="67" fillId="0" borderId="0" xfId="18" applyFont="1" applyFill="1" applyBorder="1" applyAlignment="1" applyProtection="1">
      <protection hidden="1"/>
    </xf>
    <xf numFmtId="0" fontId="72" fillId="0" borderId="0" xfId="103" applyFont="1"/>
    <xf numFmtId="0" fontId="70" fillId="0" borderId="35" xfId="0" applyFont="1" applyBorder="1"/>
    <xf numFmtId="2" fontId="101" fillId="61" borderId="36" xfId="13" applyNumberFormat="1" applyFont="1" applyFill="1" applyBorder="1" applyAlignment="1" applyProtection="1">
      <alignment horizontal="left" vertical="center" wrapText="1"/>
      <protection hidden="1"/>
    </xf>
    <xf numFmtId="2" fontId="67" fillId="0" borderId="36" xfId="13" applyNumberFormat="1" applyFont="1" applyBorder="1" applyProtection="1">
      <protection hidden="1"/>
    </xf>
    <xf numFmtId="1" fontId="72" fillId="0" borderId="37" xfId="13" applyNumberFormat="1" applyFont="1" applyBorder="1" applyAlignment="1" applyProtection="1">
      <alignment horizontal="center"/>
      <protection hidden="1"/>
    </xf>
    <xf numFmtId="166" fontId="67" fillId="0" borderId="36" xfId="18" applyFont="1" applyFill="1" applyBorder="1" applyAlignment="1" applyProtection="1">
      <protection hidden="1"/>
    </xf>
    <xf numFmtId="166" fontId="67" fillId="0" borderId="37" xfId="18" applyFont="1" applyFill="1" applyBorder="1" applyAlignment="1" applyProtection="1">
      <protection hidden="1"/>
    </xf>
    <xf numFmtId="0" fontId="72" fillId="0" borderId="37" xfId="0" applyFont="1" applyBorder="1"/>
    <xf numFmtId="166" fontId="72" fillId="0" borderId="37" xfId="18" applyFont="1" applyBorder="1"/>
    <xf numFmtId="2" fontId="87" fillId="61" borderId="33" xfId="0" applyNumberFormat="1" applyFont="1" applyFill="1" applyBorder="1" applyAlignment="1">
      <alignment horizontal="center" vertical="top" wrapText="1"/>
    </xf>
    <xf numFmtId="0" fontId="87" fillId="0" borderId="0" xfId="13" applyFont="1" applyProtection="1">
      <protection hidden="1"/>
    </xf>
    <xf numFmtId="0" fontId="87" fillId="0" borderId="0" xfId="13" applyFont="1" applyAlignment="1" applyProtection="1">
      <alignment horizontal="right" vertical="center"/>
      <protection hidden="1"/>
    </xf>
    <xf numFmtId="2" fontId="87" fillId="0" borderId="0" xfId="13" applyNumberFormat="1" applyFont="1" applyAlignment="1" applyProtection="1">
      <alignment vertical="center"/>
      <protection hidden="1"/>
    </xf>
    <xf numFmtId="0" fontId="87" fillId="0" borderId="0" xfId="13" applyFont="1" applyAlignment="1" applyProtection="1">
      <alignment vertical="center"/>
      <protection hidden="1"/>
    </xf>
    <xf numFmtId="0" fontId="87" fillId="0" borderId="0" xfId="0" applyFont="1"/>
    <xf numFmtId="0" fontId="67" fillId="2" borderId="0" xfId="17" applyFont="1" applyFill="1"/>
    <xf numFmtId="0" fontId="67" fillId="0" borderId="35" xfId="0" applyFont="1" applyBorder="1" applyAlignment="1">
      <alignment horizontal="left"/>
    </xf>
    <xf numFmtId="176" fontId="67" fillId="62" borderId="37" xfId="11" applyNumberFormat="1" applyFont="1" applyFill="1" applyBorder="1" applyAlignment="1" applyProtection="1">
      <alignment vertical="center"/>
      <protection hidden="1"/>
    </xf>
    <xf numFmtId="0" fontId="67" fillId="0" borderId="36" xfId="0" applyFont="1" applyBorder="1"/>
    <xf numFmtId="174" fontId="108" fillId="0" borderId="5" xfId="0" applyNumberFormat="1" applyFont="1" applyBorder="1" applyAlignment="1">
      <alignment horizontal="center" vertical="center"/>
    </xf>
    <xf numFmtId="1" fontId="72" fillId="0" borderId="37" xfId="13" applyNumberFormat="1" applyFont="1" applyBorder="1" applyAlignment="1" applyProtection="1">
      <alignment horizontal="center" vertical="center"/>
      <protection hidden="1"/>
    </xf>
    <xf numFmtId="172" fontId="80" fillId="61" borderId="37" xfId="8" applyNumberFormat="1" applyFont="1" applyFill="1" applyBorder="1" applyAlignment="1">
      <alignment vertical="top" wrapText="1"/>
    </xf>
    <xf numFmtId="167" fontId="72" fillId="2" borderId="37" xfId="8" applyFont="1" applyFill="1" applyBorder="1"/>
    <xf numFmtId="0" fontId="90" fillId="0" borderId="0" xfId="0" applyFont="1" applyAlignment="1">
      <alignment horizontal="center" vertical="center"/>
    </xf>
    <xf numFmtId="2" fontId="73" fillId="0" borderId="0" xfId="0" applyNumberFormat="1" applyFont="1" applyAlignment="1">
      <alignment horizontal="center" vertical="center"/>
    </xf>
    <xf numFmtId="2" fontId="71" fillId="0" borderId="37" xfId="3" applyNumberFormat="1" applyFont="1" applyFill="1" applyBorder="1" applyAlignment="1" applyProtection="1">
      <protection hidden="1"/>
    </xf>
    <xf numFmtId="166" fontId="71" fillId="35" borderId="37" xfId="18" applyFont="1" applyFill="1" applyBorder="1" applyAlignment="1" applyProtection="1">
      <protection locked="0"/>
    </xf>
    <xf numFmtId="166" fontId="71" fillId="63" borderId="37" xfId="18" applyFont="1" applyFill="1" applyBorder="1" applyAlignment="1" applyProtection="1">
      <protection locked="0"/>
    </xf>
    <xf numFmtId="178" fontId="72" fillId="0" borderId="37" xfId="3" applyNumberFormat="1" applyFont="1" applyFill="1" applyBorder="1" applyAlignment="1" applyProtection="1">
      <protection hidden="1"/>
    </xf>
    <xf numFmtId="169" fontId="71" fillId="0" borderId="37" xfId="3" applyFont="1" applyFill="1" applyBorder="1" applyAlignment="1" applyProtection="1">
      <protection hidden="1"/>
    </xf>
    <xf numFmtId="166" fontId="71" fillId="0" borderId="37" xfId="18" applyFont="1" applyFill="1" applyBorder="1" applyAlignment="1" applyProtection="1">
      <protection locked="0"/>
    </xf>
    <xf numFmtId="169" fontId="71" fillId="0" borderId="37" xfId="3" applyFont="1" applyFill="1" applyBorder="1" applyAlignment="1" applyProtection="1">
      <protection locked="0"/>
    </xf>
    <xf numFmtId="166" fontId="96" fillId="2" borderId="37" xfId="18" applyFont="1" applyFill="1" applyBorder="1" applyAlignment="1" applyProtection="1">
      <alignment horizontal="right"/>
      <protection locked="0"/>
    </xf>
    <xf numFmtId="178" fontId="75" fillId="0" borderId="37" xfId="5" applyNumberFormat="1" applyFont="1" applyFill="1" applyBorder="1" applyAlignment="1" applyProtection="1">
      <protection hidden="1"/>
    </xf>
    <xf numFmtId="0" fontId="67" fillId="0" borderId="38" xfId="63" applyFont="1" applyBorder="1"/>
    <xf numFmtId="49" fontId="72" fillId="0" borderId="38" xfId="63" applyNumberFormat="1" applyFont="1" applyBorder="1"/>
    <xf numFmtId="0" fontId="67" fillId="0" borderId="0" xfId="63" applyFont="1"/>
    <xf numFmtId="49" fontId="80" fillId="61" borderId="36" xfId="63" applyNumberFormat="1" applyFont="1" applyFill="1" applyBorder="1"/>
    <xf numFmtId="0" fontId="80" fillId="61" borderId="38" xfId="63" applyFont="1" applyFill="1" applyBorder="1"/>
    <xf numFmtId="44" fontId="80" fillId="61" borderId="35" xfId="63" applyNumberFormat="1" applyFont="1" applyFill="1" applyBorder="1"/>
    <xf numFmtId="172" fontId="80" fillId="61" borderId="36" xfId="8" applyNumberFormat="1" applyFont="1" applyFill="1" applyBorder="1" applyAlignment="1">
      <alignment horizontal="left"/>
    </xf>
    <xf numFmtId="167" fontId="80" fillId="61" borderId="35" xfId="8" applyFont="1" applyFill="1" applyBorder="1"/>
    <xf numFmtId="167" fontId="67" fillId="62" borderId="37" xfId="8" applyFont="1" applyFill="1" applyBorder="1" applyAlignment="1">
      <alignment horizontal="left"/>
    </xf>
    <xf numFmtId="167" fontId="67" fillId="0" borderId="35" xfId="8" applyFont="1" applyBorder="1"/>
    <xf numFmtId="2" fontId="67" fillId="62" borderId="37" xfId="8" applyNumberFormat="1" applyFont="1" applyFill="1" applyBorder="1" applyAlignment="1">
      <alignment horizontal="center"/>
    </xf>
    <xf numFmtId="172" fontId="80" fillId="61" borderId="39" xfId="8" applyNumberFormat="1" applyFont="1" applyFill="1" applyBorder="1" applyAlignment="1">
      <alignment vertical="top" wrapText="1"/>
    </xf>
    <xf numFmtId="172" fontId="80" fillId="61" borderId="36" xfId="8" applyNumberFormat="1" applyFont="1" applyFill="1" applyBorder="1" applyAlignment="1">
      <alignment vertical="top" wrapText="1"/>
    </xf>
    <xf numFmtId="172" fontId="80" fillId="61" borderId="35" xfId="8" applyNumberFormat="1" applyFont="1" applyFill="1" applyBorder="1" applyAlignment="1">
      <alignment vertical="top" wrapText="1"/>
    </xf>
    <xf numFmtId="0" fontId="67" fillId="2" borderId="36" xfId="10" applyFont="1" applyFill="1" applyBorder="1"/>
    <xf numFmtId="172" fontId="80" fillId="61" borderId="38" xfId="8" applyNumberFormat="1" applyFont="1" applyFill="1" applyBorder="1" applyAlignment="1">
      <alignment vertical="top" wrapText="1"/>
    </xf>
    <xf numFmtId="44" fontId="67" fillId="63" borderId="35" xfId="66" applyFont="1" applyFill="1" applyBorder="1" applyAlignment="1" applyProtection="1">
      <protection locked="0"/>
    </xf>
    <xf numFmtId="44" fontId="67" fillId="35" borderId="38" xfId="66" applyFont="1" applyFill="1" applyBorder="1" applyAlignment="1" applyProtection="1">
      <protection locked="0"/>
    </xf>
    <xf numFmtId="44" fontId="67" fillId="35" borderId="35" xfId="66" applyFont="1" applyFill="1" applyBorder="1" applyAlignment="1" applyProtection="1">
      <protection locked="0"/>
    </xf>
    <xf numFmtId="9" fontId="67" fillId="62" borderId="37" xfId="16" applyFont="1" applyFill="1" applyBorder="1" applyAlignment="1">
      <alignment horizontal="center"/>
    </xf>
    <xf numFmtId="1" fontId="70" fillId="0" borderId="0" xfId="0" applyNumberFormat="1" applyFont="1" applyAlignment="1">
      <alignment horizontal="center"/>
    </xf>
    <xf numFmtId="172" fontId="72" fillId="2" borderId="37" xfId="8" applyNumberFormat="1" applyFont="1" applyFill="1" applyBorder="1"/>
    <xf numFmtId="2" fontId="81" fillId="62" borderId="0" xfId="12" applyNumberFormat="1" applyFont="1" applyFill="1"/>
    <xf numFmtId="10" fontId="94" fillId="0" borderId="2" xfId="13" applyNumberFormat="1" applyFont="1" applyBorder="1" applyAlignment="1" applyProtection="1">
      <alignment horizontal="right"/>
      <protection hidden="1"/>
    </xf>
    <xf numFmtId="174" fontId="93" fillId="0" borderId="6" xfId="16" applyNumberFormat="1" applyFont="1" applyFill="1" applyBorder="1" applyAlignment="1" applyProtection="1">
      <alignment horizontal="right"/>
      <protection hidden="1"/>
    </xf>
    <xf numFmtId="0" fontId="71" fillId="0" borderId="34" xfId="13" applyFont="1" applyBorder="1" applyProtection="1">
      <protection hidden="1"/>
    </xf>
    <xf numFmtId="0" fontId="109" fillId="0" borderId="36" xfId="13" applyFont="1" applyBorder="1" applyProtection="1">
      <protection hidden="1"/>
    </xf>
    <xf numFmtId="0" fontId="110" fillId="0" borderId="38" xfId="13" applyFont="1" applyBorder="1" applyProtection="1">
      <protection hidden="1"/>
    </xf>
    <xf numFmtId="0" fontId="110" fillId="0" borderId="35" xfId="13" applyFont="1" applyBorder="1" applyAlignment="1" applyProtection="1">
      <alignment horizontal="right"/>
      <protection hidden="1"/>
    </xf>
    <xf numFmtId="2" fontId="101" fillId="61" borderId="37" xfId="3" applyNumberFormat="1" applyFont="1" applyFill="1" applyBorder="1" applyAlignment="1" applyProtection="1">
      <alignment vertical="center" wrapText="1"/>
      <protection hidden="1"/>
    </xf>
    <xf numFmtId="2" fontId="82" fillId="62" borderId="0" xfId="12" applyNumberFormat="1" applyFont="1" applyFill="1"/>
    <xf numFmtId="167" fontId="80" fillId="61" borderId="37" xfId="8" applyFont="1" applyFill="1" applyBorder="1" applyAlignment="1">
      <alignment horizontal="center" vertical="top" wrapText="1"/>
    </xf>
    <xf numFmtId="43" fontId="69" fillId="0" borderId="37" xfId="8" applyNumberFormat="1" applyFont="1" applyFill="1" applyBorder="1" applyAlignment="1">
      <alignment horizontal="center"/>
    </xf>
    <xf numFmtId="172" fontId="80" fillId="61" borderId="37" xfId="8" applyNumberFormat="1" applyFont="1" applyFill="1" applyBorder="1" applyAlignment="1">
      <alignment horizontal="center" vertical="top" wrapText="1"/>
    </xf>
    <xf numFmtId="1" fontId="72" fillId="2" borderId="37" xfId="8" applyNumberFormat="1" applyFont="1" applyFill="1" applyBorder="1" applyAlignment="1">
      <alignment horizontal="center"/>
    </xf>
    <xf numFmtId="2" fontId="67" fillId="2" borderId="37" xfId="8" applyNumberFormat="1" applyFont="1" applyFill="1" applyBorder="1" applyAlignment="1">
      <alignment horizontal="center"/>
    </xf>
    <xf numFmtId="2" fontId="81" fillId="0" borderId="0" xfId="63" applyNumberFormat="1" applyFont="1"/>
    <xf numFmtId="2" fontId="80" fillId="61" borderId="33" xfId="0" applyNumberFormat="1" applyFont="1" applyFill="1" applyBorder="1" applyAlignment="1">
      <alignment horizontal="left" vertical="top" wrapText="1"/>
    </xf>
    <xf numFmtId="3" fontId="71" fillId="62" borderId="37" xfId="62" applyNumberFormat="1" applyFont="1" applyFill="1" applyBorder="1" applyAlignment="1" applyProtection="1">
      <alignment horizontal="center"/>
      <protection hidden="1"/>
    </xf>
    <xf numFmtId="179" fontId="67" fillId="0" borderId="37" xfId="89" applyNumberFormat="1" applyFont="1" applyBorder="1"/>
    <xf numFmtId="166" fontId="67" fillId="2" borderId="37" xfId="18" applyFont="1" applyFill="1" applyBorder="1" applyAlignment="1">
      <alignment horizontal="center"/>
    </xf>
    <xf numFmtId="166" fontId="67" fillId="2" borderId="37" xfId="18" applyFont="1" applyFill="1" applyBorder="1" applyAlignment="1">
      <alignment horizontal="right"/>
    </xf>
    <xf numFmtId="166" fontId="67" fillId="0" borderId="37" xfId="18" applyFont="1" applyBorder="1"/>
    <xf numFmtId="166" fontId="67" fillId="0" borderId="37" xfId="89" applyNumberFormat="1" applyFont="1" applyBorder="1"/>
    <xf numFmtId="172" fontId="67" fillId="0" borderId="0" xfId="0" applyNumberFormat="1" applyFont="1"/>
    <xf numFmtId="49" fontId="87" fillId="0" borderId="36" xfId="63" applyNumberFormat="1" applyFont="1" applyBorder="1"/>
    <xf numFmtId="49" fontId="70" fillId="0" borderId="0" xfId="63" applyNumberFormat="1" applyFont="1"/>
    <xf numFmtId="0" fontId="70" fillId="0" borderId="0" xfId="63" applyFont="1"/>
    <xf numFmtId="10" fontId="70" fillId="0" borderId="0" xfId="63" applyNumberFormat="1" applyFont="1" applyAlignment="1">
      <alignment horizontal="left"/>
    </xf>
    <xf numFmtId="177" fontId="70" fillId="0" borderId="2" xfId="6" applyNumberFormat="1" applyFont="1" applyFill="1" applyBorder="1" applyAlignment="1">
      <alignment horizontal="left"/>
    </xf>
    <xf numFmtId="44" fontId="70" fillId="0" borderId="0" xfId="63" applyNumberFormat="1" applyFont="1"/>
    <xf numFmtId="166" fontId="87" fillId="2" borderId="35" xfId="18" applyFont="1" applyFill="1" applyBorder="1" applyAlignment="1"/>
    <xf numFmtId="0" fontId="80" fillId="61" borderId="37" xfId="0" applyFont="1" applyFill="1" applyBorder="1" applyAlignment="1">
      <alignment wrapText="1"/>
    </xf>
    <xf numFmtId="0" fontId="80" fillId="61" borderId="37" xfId="0" applyFont="1" applyFill="1" applyBorder="1"/>
    <xf numFmtId="1" fontId="67" fillId="0" borderId="37" xfId="61" applyNumberFormat="1" applyFont="1" applyBorder="1" applyAlignment="1">
      <alignment horizontal="center"/>
    </xf>
    <xf numFmtId="1" fontId="76" fillId="0" borderId="37" xfId="61" applyNumberFormat="1" applyFont="1" applyBorder="1" applyAlignment="1">
      <alignment horizontal="center"/>
    </xf>
    <xf numFmtId="1" fontId="71" fillId="0" borderId="37" xfId="61" applyNumberFormat="1" applyFont="1" applyBorder="1" applyAlignment="1">
      <alignment horizontal="center"/>
    </xf>
    <xf numFmtId="0" fontId="67" fillId="0" borderId="37" xfId="0" applyFont="1" applyBorder="1"/>
    <xf numFmtId="2" fontId="82" fillId="2" borderId="0" xfId="12" applyNumberFormat="1" applyFont="1" applyFill="1"/>
    <xf numFmtId="0" fontId="70" fillId="0" borderId="0" xfId="89" applyFont="1"/>
    <xf numFmtId="0" fontId="112" fillId="0" borderId="0" xfId="0" applyFont="1"/>
    <xf numFmtId="14" fontId="82" fillId="0" borderId="0" xfId="63" applyNumberFormat="1" applyFont="1" applyAlignment="1">
      <alignment horizontal="left"/>
    </xf>
    <xf numFmtId="14" fontId="82" fillId="0" borderId="0" xfId="12" applyNumberFormat="1" applyFont="1" applyAlignment="1">
      <alignment horizontal="left"/>
    </xf>
    <xf numFmtId="14" fontId="82" fillId="0" borderId="0" xfId="0" applyNumberFormat="1" applyFont="1" applyAlignment="1">
      <alignment horizontal="left"/>
    </xf>
    <xf numFmtId="167" fontId="70" fillId="0" borderId="0" xfId="8" applyFont="1"/>
    <xf numFmtId="2" fontId="83" fillId="0" borderId="0" xfId="12" applyNumberFormat="1" applyFont="1"/>
    <xf numFmtId="166" fontId="67" fillId="62" borderId="37" xfId="18" applyFont="1" applyFill="1" applyBorder="1"/>
    <xf numFmtId="0" fontId="67" fillId="0" borderId="36" xfId="13" applyFont="1" applyBorder="1" applyProtection="1">
      <protection hidden="1"/>
    </xf>
    <xf numFmtId="0" fontId="93" fillId="0" borderId="35" xfId="13" applyFont="1" applyBorder="1" applyAlignment="1" applyProtection="1">
      <alignment horizontal="right"/>
      <protection hidden="1"/>
    </xf>
    <xf numFmtId="0" fontId="67" fillId="2" borderId="37" xfId="89" applyFont="1" applyFill="1" applyBorder="1" applyAlignment="1">
      <alignment horizontal="left" vertical="top"/>
    </xf>
    <xf numFmtId="0" fontId="67" fillId="0" borderId="16" xfId="0" applyFont="1" applyBorder="1" applyAlignment="1">
      <alignment horizontal="left" vertical="top" wrapText="1"/>
    </xf>
    <xf numFmtId="3" fontId="67" fillId="0" borderId="16" xfId="0" applyNumberFormat="1" applyFont="1" applyBorder="1" applyAlignment="1">
      <alignment horizontal="left" vertical="top" wrapText="1"/>
    </xf>
    <xf numFmtId="2" fontId="67" fillId="0" borderId="16" xfId="0" applyNumberFormat="1" applyFont="1" applyBorder="1" applyAlignment="1">
      <alignment horizontal="right" vertical="top" wrapText="1"/>
    </xf>
    <xf numFmtId="2" fontId="67" fillId="0" borderId="37" xfId="84" applyNumberFormat="1" applyFont="1" applyBorder="1"/>
    <xf numFmtId="3" fontId="67" fillId="0" borderId="37" xfId="8" applyNumberFormat="1" applyFont="1" applyFill="1" applyBorder="1" applyAlignment="1">
      <alignment horizontal="center" vertical="top" wrapText="1"/>
    </xf>
    <xf numFmtId="0" fontId="67" fillId="0" borderId="37" xfId="103" applyFont="1" applyBorder="1" applyAlignment="1">
      <alignment vertical="top"/>
    </xf>
    <xf numFmtId="0" fontId="67" fillId="0" borderId="37" xfId="103" applyFont="1" applyBorder="1" applyAlignment="1">
      <alignment horizontal="center" vertical="center"/>
    </xf>
    <xf numFmtId="0" fontId="67" fillId="0" borderId="37" xfId="103" applyFont="1" applyBorder="1" applyAlignment="1">
      <alignment horizontal="center" vertical="top"/>
    </xf>
    <xf numFmtId="49" fontId="86" fillId="63" borderId="37" xfId="62" applyNumberFormat="1" applyFont="1" applyFill="1" applyBorder="1" applyAlignment="1" applyProtection="1">
      <alignment horizontal="left" vertical="top"/>
      <protection hidden="1"/>
    </xf>
    <xf numFmtId="2" fontId="80" fillId="61" borderId="37" xfId="89" applyNumberFormat="1" applyFont="1" applyFill="1" applyBorder="1" applyAlignment="1">
      <alignment vertical="top" wrapText="1"/>
    </xf>
    <xf numFmtId="1" fontId="67" fillId="2" borderId="37" xfId="8" applyNumberFormat="1" applyFont="1" applyFill="1" applyBorder="1" applyAlignment="1">
      <alignment horizontal="center"/>
    </xf>
    <xf numFmtId="2" fontId="67" fillId="0" borderId="37" xfId="89" applyNumberFormat="1" applyFont="1" applyBorder="1"/>
    <xf numFmtId="0" fontId="72" fillId="0" borderId="37" xfId="89" applyFont="1" applyBorder="1"/>
    <xf numFmtId="2" fontId="72" fillId="2" borderId="37" xfId="8" applyNumberFormat="1" applyFont="1" applyFill="1" applyBorder="1" applyAlignment="1">
      <alignment horizontal="center"/>
    </xf>
    <xf numFmtId="166" fontId="72" fillId="2" borderId="37" xfId="18" applyFont="1" applyFill="1" applyBorder="1"/>
    <xf numFmtId="49" fontId="86" fillId="63" borderId="37" xfId="9" applyNumberFormat="1" applyFont="1" applyFill="1" applyBorder="1" applyAlignment="1" applyProtection="1">
      <alignment horizontal="left" vertical="top"/>
      <protection hidden="1"/>
    </xf>
    <xf numFmtId="1" fontId="76" fillId="0" borderId="36" xfId="0" applyNumberFormat="1" applyFont="1" applyBorder="1" applyAlignment="1">
      <alignment horizontal="left" vertical="center"/>
    </xf>
    <xf numFmtId="1" fontId="76" fillId="0" borderId="38" xfId="0" applyNumberFormat="1" applyFont="1" applyBorder="1" applyAlignment="1">
      <alignment horizontal="left" vertical="center"/>
    </xf>
    <xf numFmtId="1" fontId="76" fillId="0" borderId="38" xfId="0" applyNumberFormat="1" applyFont="1" applyBorder="1" applyAlignment="1">
      <alignment horizontal="center" vertical="center" wrapText="1"/>
    </xf>
    <xf numFmtId="1" fontId="76" fillId="0" borderId="35" xfId="0" applyNumberFormat="1" applyFont="1" applyBorder="1" applyAlignment="1">
      <alignment horizontal="center" vertical="center" wrapText="1"/>
    </xf>
    <xf numFmtId="2" fontId="80" fillId="61" borderId="37" xfId="0" applyNumberFormat="1" applyFont="1" applyFill="1" applyBorder="1" applyAlignment="1">
      <alignment horizontal="left" vertical="center" wrapText="1"/>
    </xf>
    <xf numFmtId="1" fontId="80" fillId="61" borderId="37" xfId="0" applyNumberFormat="1" applyFont="1" applyFill="1" applyBorder="1" applyAlignment="1">
      <alignment horizontal="center" vertical="center" wrapText="1"/>
    </xf>
    <xf numFmtId="9" fontId="86" fillId="62" borderId="37" xfId="61" applyNumberFormat="1" applyFont="1" applyFill="1" applyBorder="1" applyAlignment="1">
      <alignment horizontal="center" vertical="center"/>
    </xf>
    <xf numFmtId="0" fontId="80" fillId="61" borderId="37" xfId="0" applyFont="1" applyFill="1" applyBorder="1" applyAlignment="1">
      <alignment horizontal="left" vertical="center" wrapText="1"/>
    </xf>
    <xf numFmtId="2" fontId="80" fillId="61" borderId="37" xfId="0" applyNumberFormat="1" applyFont="1" applyFill="1" applyBorder="1" applyAlignment="1">
      <alignment horizontal="center" vertical="center" wrapText="1"/>
    </xf>
    <xf numFmtId="1" fontId="76" fillId="0" borderId="37" xfId="0" applyNumberFormat="1" applyFont="1" applyBorder="1" applyAlignment="1">
      <alignment horizontal="center" vertical="center" wrapText="1"/>
    </xf>
    <xf numFmtId="0" fontId="67" fillId="2" borderId="37" xfId="0" applyFont="1" applyFill="1" applyBorder="1" applyAlignment="1">
      <alignment vertical="center"/>
    </xf>
    <xf numFmtId="172" fontId="72" fillId="62" borderId="37" xfId="8" applyNumberFormat="1" applyFont="1" applyFill="1" applyBorder="1" applyAlignment="1">
      <alignment horizontal="center"/>
    </xf>
    <xf numFmtId="172" fontId="67" fillId="0" borderId="37" xfId="8" applyNumberFormat="1" applyFont="1" applyFill="1" applyBorder="1" applyAlignment="1">
      <alignment horizontal="center" vertical="center"/>
    </xf>
    <xf numFmtId="0" fontId="67" fillId="0" borderId="37" xfId="0" applyFont="1" applyBorder="1" applyAlignment="1">
      <alignment vertical="center"/>
    </xf>
    <xf numFmtId="172" fontId="72" fillId="0" borderId="37" xfId="8" applyNumberFormat="1" applyFont="1" applyFill="1" applyBorder="1" applyAlignment="1">
      <alignment horizontal="center"/>
    </xf>
    <xf numFmtId="172" fontId="76" fillId="0" borderId="37" xfId="8" applyNumberFormat="1" applyFont="1" applyFill="1" applyBorder="1" applyAlignment="1">
      <alignment horizontal="center"/>
    </xf>
    <xf numFmtId="49" fontId="67" fillId="0" borderId="37" xfId="0" applyNumberFormat="1" applyFont="1" applyBorder="1" applyAlignment="1">
      <alignment horizontal="center"/>
    </xf>
    <xf numFmtId="49" fontId="76" fillId="0" borderId="37" xfId="17" applyNumberFormat="1" applyFont="1" applyBorder="1" applyAlignment="1">
      <alignment horizontal="center"/>
    </xf>
    <xf numFmtId="0" fontId="72" fillId="0" borderId="37" xfId="0" applyFont="1" applyBorder="1" applyAlignment="1">
      <alignment vertical="center"/>
    </xf>
    <xf numFmtId="0" fontId="76" fillId="0" borderId="37" xfId="17" applyFont="1" applyBorder="1" applyAlignment="1">
      <alignment horizontal="left"/>
    </xf>
    <xf numFmtId="172" fontId="72" fillId="0" borderId="37" xfId="8" applyNumberFormat="1" applyFont="1" applyFill="1" applyBorder="1" applyAlignment="1">
      <alignment horizontal="center" vertical="center"/>
    </xf>
    <xf numFmtId="1" fontId="80" fillId="61" borderId="37" xfId="0" applyNumberFormat="1" applyFont="1" applyFill="1" applyBorder="1" applyAlignment="1">
      <alignment horizontal="left"/>
    </xf>
    <xf numFmtId="1" fontId="80" fillId="61" borderId="37" xfId="0" applyNumberFormat="1" applyFont="1" applyFill="1" applyBorder="1" applyAlignment="1">
      <alignment horizontal="center"/>
    </xf>
    <xf numFmtId="2" fontId="80" fillId="61" borderId="33" xfId="0" applyNumberFormat="1" applyFont="1" applyFill="1" applyBorder="1" applyAlignment="1">
      <alignment horizontal="left" vertical="top"/>
    </xf>
    <xf numFmtId="0" fontId="80" fillId="61" borderId="33" xfId="0" applyFont="1" applyFill="1" applyBorder="1" applyAlignment="1">
      <alignment horizontal="left" vertical="top" wrapText="1"/>
    </xf>
    <xf numFmtId="181" fontId="80" fillId="61" borderId="33" xfId="8" applyNumberFormat="1" applyFont="1" applyFill="1" applyBorder="1" applyAlignment="1">
      <alignment horizontal="left" vertical="top" wrapText="1"/>
    </xf>
    <xf numFmtId="167" fontId="87" fillId="61" borderId="33" xfId="8" applyFont="1" applyFill="1" applyBorder="1" applyAlignment="1">
      <alignment horizontal="center" vertical="top" wrapText="1"/>
    </xf>
    <xf numFmtId="2" fontId="67" fillId="0" borderId="37" xfId="0" applyNumberFormat="1" applyFont="1" applyBorder="1"/>
    <xf numFmtId="173" fontId="67" fillId="0" borderId="37" xfId="0" applyNumberFormat="1" applyFont="1" applyBorder="1" applyAlignment="1">
      <alignment horizontal="left"/>
    </xf>
    <xf numFmtId="1" fontId="70" fillId="0" borderId="37" xfId="0" applyNumberFormat="1" applyFont="1" applyBorder="1" applyAlignment="1">
      <alignment horizontal="center"/>
    </xf>
    <xf numFmtId="1" fontId="1" fillId="0" borderId="37" xfId="0" applyNumberFormat="1" applyFont="1" applyBorder="1" applyAlignment="1">
      <alignment horizontal="center"/>
    </xf>
    <xf numFmtId="1" fontId="69" fillId="0" borderId="37" xfId="8" applyNumberFormat="1" applyFont="1" applyFill="1" applyBorder="1" applyAlignment="1">
      <alignment horizontal="center"/>
    </xf>
    <xf numFmtId="2" fontId="69" fillId="0" borderId="37" xfId="8" applyNumberFormat="1" applyFont="1" applyFill="1" applyBorder="1" applyAlignment="1">
      <alignment horizontal="center"/>
    </xf>
    <xf numFmtId="172" fontId="69" fillId="0" borderId="37" xfId="8" applyNumberFormat="1" applyFont="1" applyFill="1" applyBorder="1" applyAlignment="1">
      <alignment horizontal="center"/>
    </xf>
    <xf numFmtId="0" fontId="67" fillId="0" borderId="35" xfId="0" applyFont="1" applyBorder="1"/>
    <xf numFmtId="0" fontId="67" fillId="64" borderId="37" xfId="0" applyFont="1" applyFill="1" applyBorder="1"/>
    <xf numFmtId="1" fontId="1" fillId="0" borderId="0" xfId="0" applyNumberFormat="1" applyFont="1" applyAlignment="1">
      <alignment horizontal="center"/>
    </xf>
    <xf numFmtId="0" fontId="69" fillId="62" borderId="37" xfId="13" applyFont="1" applyFill="1" applyBorder="1" applyProtection="1">
      <protection hidden="1"/>
    </xf>
    <xf numFmtId="2" fontId="88" fillId="61" borderId="36" xfId="13" applyNumberFormat="1" applyFont="1" applyFill="1" applyBorder="1" applyAlignment="1" applyProtection="1">
      <alignment horizontal="left" vertical="center"/>
      <protection hidden="1"/>
    </xf>
    <xf numFmtId="2" fontId="84" fillId="61" borderId="38" xfId="11" applyNumberFormat="1" applyFont="1" applyFill="1" applyBorder="1" applyProtection="1">
      <protection hidden="1"/>
    </xf>
    <xf numFmtId="2" fontId="84" fillId="61" borderId="35" xfId="11" applyNumberFormat="1" applyFont="1" applyFill="1" applyBorder="1" applyProtection="1">
      <protection hidden="1"/>
    </xf>
    <xf numFmtId="2" fontId="67" fillId="0" borderId="36" xfId="11" applyNumberFormat="1" applyFont="1" applyBorder="1" applyProtection="1">
      <protection hidden="1"/>
    </xf>
    <xf numFmtId="2" fontId="67" fillId="0" borderId="35" xfId="11" applyNumberFormat="1" applyFont="1" applyBorder="1" applyProtection="1">
      <protection hidden="1"/>
    </xf>
    <xf numFmtId="0" fontId="72" fillId="0" borderId="36" xfId="0" applyFont="1" applyBorder="1"/>
    <xf numFmtId="0" fontId="72" fillId="0" borderId="35" xfId="0" applyFont="1" applyBorder="1"/>
    <xf numFmtId="176" fontId="72" fillId="0" borderId="37" xfId="11" applyNumberFormat="1" applyFont="1" applyBorder="1" applyAlignment="1" applyProtection="1">
      <alignment vertical="center"/>
      <protection hidden="1"/>
    </xf>
    <xf numFmtId="176" fontId="67" fillId="0" borderId="37" xfId="11" applyNumberFormat="1" applyFont="1" applyBorder="1" applyAlignment="1" applyProtection="1">
      <alignment vertical="center"/>
      <protection hidden="1"/>
    </xf>
    <xf numFmtId="10" fontId="72" fillId="0" borderId="35" xfId="0" applyNumberFormat="1" applyFont="1" applyBorder="1"/>
    <xf numFmtId="2" fontId="72" fillId="0" borderId="37" xfId="11" applyNumberFormat="1" applyFont="1" applyBorder="1" applyAlignment="1" applyProtection="1">
      <alignment horizontal="center"/>
      <protection hidden="1"/>
    </xf>
    <xf numFmtId="178" fontId="71" fillId="0" borderId="37" xfId="13" applyNumberFormat="1" applyFont="1" applyBorder="1" applyAlignment="1" applyProtection="1">
      <alignment horizontal="left" vertical="center"/>
      <protection hidden="1"/>
    </xf>
    <xf numFmtId="166" fontId="71" fillId="62" borderId="37" xfId="18" applyFont="1" applyFill="1" applyBorder="1" applyAlignment="1" applyProtection="1">
      <alignment horizontal="right" vertical="center"/>
      <protection hidden="1"/>
    </xf>
    <xf numFmtId="0" fontId="67" fillId="0" borderId="36" xfId="11" applyFont="1" applyBorder="1" applyAlignment="1" applyProtection="1">
      <alignment vertical="center"/>
      <protection hidden="1"/>
    </xf>
    <xf numFmtId="10" fontId="67" fillId="62" borderId="37" xfId="11" applyNumberFormat="1" applyFont="1" applyFill="1" applyBorder="1" applyAlignment="1" applyProtection="1">
      <alignment vertical="center"/>
      <protection hidden="1"/>
    </xf>
    <xf numFmtId="0" fontId="67" fillId="0" borderId="38" xfId="0" applyFont="1" applyBorder="1"/>
    <xf numFmtId="0" fontId="72" fillId="0" borderId="36" xfId="13" applyFont="1" applyBorder="1" applyAlignment="1" applyProtection="1">
      <alignment vertical="center"/>
      <protection hidden="1"/>
    </xf>
    <xf numFmtId="0" fontId="72" fillId="0" borderId="38" xfId="0" applyFont="1" applyBorder="1"/>
    <xf numFmtId="10" fontId="72" fillId="0" borderId="37" xfId="16" applyNumberFormat="1" applyFont="1" applyFill="1" applyBorder="1" applyAlignment="1"/>
    <xf numFmtId="0" fontId="88" fillId="61" borderId="36" xfId="13" applyFont="1" applyFill="1" applyBorder="1" applyAlignment="1" applyProtection="1">
      <alignment horizontal="left" vertical="center"/>
      <protection hidden="1"/>
    </xf>
    <xf numFmtId="0" fontId="79" fillId="61" borderId="38" xfId="13" applyFont="1" applyFill="1" applyBorder="1" applyAlignment="1" applyProtection="1">
      <alignment horizontal="left" vertical="center"/>
      <protection hidden="1"/>
    </xf>
    <xf numFmtId="9" fontId="84" fillId="61" borderId="35" xfId="13" applyNumberFormat="1" applyFont="1" applyFill="1" applyBorder="1" applyAlignment="1" applyProtection="1">
      <alignment vertical="center"/>
      <protection hidden="1"/>
    </xf>
    <xf numFmtId="0" fontId="80" fillId="61" borderId="37" xfId="13" applyFont="1" applyFill="1" applyBorder="1" applyAlignment="1" applyProtection="1">
      <alignment horizontal="left" vertical="center"/>
      <protection hidden="1"/>
    </xf>
    <xf numFmtId="0" fontId="71" fillId="0" borderId="37" xfId="13" applyFont="1" applyBorder="1" applyAlignment="1" applyProtection="1">
      <alignment horizontal="left" vertical="center"/>
      <protection hidden="1"/>
    </xf>
    <xf numFmtId="2" fontId="71" fillId="2" borderId="37" xfId="13" applyNumberFormat="1" applyFont="1" applyFill="1" applyBorder="1" applyAlignment="1" applyProtection="1">
      <alignment horizontal="right" vertical="center"/>
      <protection hidden="1"/>
    </xf>
    <xf numFmtId="0" fontId="72" fillId="0" borderId="37" xfId="13" applyFont="1" applyBorder="1" applyAlignment="1" applyProtection="1">
      <alignment vertical="center"/>
      <protection hidden="1"/>
    </xf>
    <xf numFmtId="2" fontId="72" fillId="0" borderId="37" xfId="13" applyNumberFormat="1" applyFont="1" applyBorder="1" applyAlignment="1" applyProtection="1">
      <alignment vertical="center"/>
      <protection hidden="1"/>
    </xf>
    <xf numFmtId="0" fontId="66" fillId="0" borderId="37" xfId="13" applyFont="1" applyBorder="1" applyAlignment="1" applyProtection="1">
      <alignment vertical="center"/>
      <protection hidden="1"/>
    </xf>
    <xf numFmtId="2" fontId="71" fillId="62" borderId="37" xfId="13" applyNumberFormat="1" applyFont="1" applyFill="1" applyBorder="1" applyAlignment="1" applyProtection="1">
      <alignment horizontal="right" vertical="center"/>
      <protection hidden="1"/>
    </xf>
    <xf numFmtId="0" fontId="74" fillId="0" borderId="37" xfId="13" applyFont="1" applyBorder="1" applyAlignment="1" applyProtection="1">
      <alignment vertical="center"/>
      <protection hidden="1"/>
    </xf>
    <xf numFmtId="0" fontId="67" fillId="0" borderId="37" xfId="13" applyFont="1" applyBorder="1" applyAlignment="1" applyProtection="1">
      <alignment vertical="center"/>
      <protection hidden="1"/>
    </xf>
    <xf numFmtId="10" fontId="71" fillId="0" borderId="37" xfId="16" applyNumberFormat="1" applyFont="1" applyFill="1" applyBorder="1" applyAlignment="1" applyProtection="1">
      <alignment vertical="center"/>
      <protection hidden="1"/>
    </xf>
    <xf numFmtId="10" fontId="72" fillId="0" borderId="37" xfId="16" applyNumberFormat="1" applyFont="1" applyFill="1" applyBorder="1" applyAlignment="1" applyProtection="1">
      <alignment vertical="center"/>
      <protection hidden="1"/>
    </xf>
    <xf numFmtId="2" fontId="79" fillId="61" borderId="36" xfId="13" applyNumberFormat="1" applyFont="1" applyFill="1" applyBorder="1" applyAlignment="1" applyProtection="1">
      <alignment horizontal="left" vertical="center" wrapText="1"/>
      <protection hidden="1"/>
    </xf>
    <xf numFmtId="2" fontId="101" fillId="61" borderId="38" xfId="13" applyNumberFormat="1" applyFont="1" applyFill="1" applyBorder="1" applyAlignment="1" applyProtection="1">
      <alignment horizontal="center" wrapText="1"/>
      <protection hidden="1"/>
    </xf>
    <xf numFmtId="2" fontId="101" fillId="61" borderId="35" xfId="13" applyNumberFormat="1" applyFont="1" applyFill="1" applyBorder="1" applyAlignment="1" applyProtection="1">
      <alignment horizontal="right" wrapText="1"/>
      <protection hidden="1"/>
    </xf>
    <xf numFmtId="2" fontId="92" fillId="0" borderId="38" xfId="3" applyNumberFormat="1" applyFont="1" applyFill="1" applyBorder="1" applyAlignment="1" applyProtection="1">
      <alignment horizontal="center" vertical="center"/>
      <protection hidden="1"/>
    </xf>
    <xf numFmtId="2" fontId="92" fillId="0" borderId="35" xfId="3" applyNumberFormat="1" applyFont="1" applyFill="1" applyBorder="1" applyAlignment="1" applyProtection="1">
      <alignment horizontal="right" vertical="center"/>
      <protection hidden="1"/>
    </xf>
    <xf numFmtId="174" fontId="73" fillId="0" borderId="39" xfId="0" applyNumberFormat="1" applyFont="1" applyBorder="1" applyAlignment="1">
      <alignment horizontal="center" vertical="center"/>
    </xf>
    <xf numFmtId="2" fontId="113" fillId="0" borderId="38" xfId="3" applyNumberFormat="1" applyFont="1" applyFill="1" applyBorder="1" applyAlignment="1" applyProtection="1">
      <alignment horizontal="left" vertical="center"/>
      <protection hidden="1"/>
    </xf>
    <xf numFmtId="2" fontId="89" fillId="0" borderId="35" xfId="3" applyNumberFormat="1" applyFont="1" applyFill="1" applyBorder="1" applyAlignment="1" applyProtection="1">
      <alignment horizontal="right" vertical="center"/>
      <protection hidden="1"/>
    </xf>
    <xf numFmtId="10" fontId="94" fillId="0" borderId="35" xfId="16" applyNumberFormat="1" applyFont="1" applyFill="1" applyBorder="1" applyAlignment="1" applyProtection="1">
      <alignment horizontal="right"/>
      <protection hidden="1"/>
    </xf>
    <xf numFmtId="0" fontId="72" fillId="0" borderId="36" xfId="13" applyFont="1" applyBorder="1" applyProtection="1">
      <protection hidden="1"/>
    </xf>
    <xf numFmtId="0" fontId="98" fillId="0" borderId="38" xfId="13" applyFont="1" applyBorder="1" applyProtection="1">
      <protection hidden="1"/>
    </xf>
    <xf numFmtId="0" fontId="98" fillId="0" borderId="35" xfId="13" applyFont="1" applyBorder="1" applyAlignment="1" applyProtection="1">
      <alignment horizontal="right"/>
      <protection hidden="1"/>
    </xf>
    <xf numFmtId="0" fontId="94" fillId="0" borderId="38" xfId="13" applyFont="1" applyBorder="1" applyAlignment="1" applyProtection="1">
      <alignment horizontal="right"/>
      <protection hidden="1"/>
    </xf>
    <xf numFmtId="0" fontId="94" fillId="0" borderId="35" xfId="13" applyFont="1" applyBorder="1" applyAlignment="1" applyProtection="1">
      <alignment horizontal="right"/>
      <protection hidden="1"/>
    </xf>
    <xf numFmtId="0" fontId="71" fillId="0" borderId="36" xfId="13" applyFont="1" applyBorder="1" applyProtection="1">
      <protection hidden="1"/>
    </xf>
    <xf numFmtId="10" fontId="93" fillId="62" borderId="37" xfId="16" applyNumberFormat="1" applyFont="1" applyFill="1" applyBorder="1" applyAlignment="1" applyProtection="1">
      <alignment horizontal="right"/>
      <protection hidden="1"/>
    </xf>
    <xf numFmtId="0" fontId="93" fillId="0" borderId="38" xfId="13" applyFont="1" applyBorder="1" applyAlignment="1" applyProtection="1">
      <alignment horizontal="center"/>
      <protection hidden="1"/>
    </xf>
    <xf numFmtId="174" fontId="95" fillId="0" borderId="37" xfId="16" applyNumberFormat="1" applyFont="1" applyFill="1" applyBorder="1" applyAlignment="1" applyProtection="1">
      <alignment horizontal="center"/>
      <protection hidden="1"/>
    </xf>
    <xf numFmtId="0" fontId="69" fillId="0" borderId="36" xfId="13" applyFont="1" applyBorder="1" applyProtection="1">
      <protection hidden="1"/>
    </xf>
    <xf numFmtId="10" fontId="94" fillId="0" borderId="38" xfId="13" applyNumberFormat="1" applyFont="1" applyBorder="1" applyAlignment="1" applyProtection="1">
      <alignment horizontal="right"/>
      <protection hidden="1"/>
    </xf>
    <xf numFmtId="174" fontId="93" fillId="0" borderId="35" xfId="16" applyNumberFormat="1" applyFont="1" applyFill="1" applyBorder="1" applyAlignment="1" applyProtection="1">
      <alignment horizontal="right"/>
      <protection hidden="1"/>
    </xf>
    <xf numFmtId="0" fontId="103" fillId="0" borderId="38" xfId="13" applyFont="1" applyBorder="1" applyAlignment="1" applyProtection="1">
      <alignment horizontal="center"/>
      <protection hidden="1"/>
    </xf>
    <xf numFmtId="9" fontId="71" fillId="62" borderId="37" xfId="16" applyFont="1" applyFill="1" applyBorder="1" applyAlignment="1" applyProtection="1">
      <alignment horizontal="center"/>
      <protection hidden="1"/>
    </xf>
    <xf numFmtId="169" fontId="93" fillId="0" borderId="38" xfId="13" applyNumberFormat="1" applyFont="1" applyBorder="1" applyAlignment="1" applyProtection="1">
      <alignment horizontal="center"/>
      <protection hidden="1"/>
    </xf>
    <xf numFmtId="165" fontId="93" fillId="0" borderId="38" xfId="13" applyNumberFormat="1" applyFont="1" applyBorder="1" applyAlignment="1" applyProtection="1">
      <alignment horizontal="center"/>
      <protection hidden="1"/>
    </xf>
    <xf numFmtId="0" fontId="67" fillId="62" borderId="36" xfId="13" applyFont="1" applyFill="1" applyBorder="1" applyProtection="1">
      <protection hidden="1"/>
    </xf>
    <xf numFmtId="0" fontId="93" fillId="62" borderId="38" xfId="13" applyFont="1" applyFill="1" applyBorder="1" applyAlignment="1" applyProtection="1">
      <alignment horizontal="center"/>
      <protection hidden="1"/>
    </xf>
    <xf numFmtId="0" fontId="93" fillId="62" borderId="35" xfId="13" applyFont="1" applyFill="1" applyBorder="1" applyAlignment="1" applyProtection="1">
      <alignment horizontal="right"/>
      <protection hidden="1"/>
    </xf>
    <xf numFmtId="9" fontId="72" fillId="0" borderId="37" xfId="0" applyNumberFormat="1" applyFont="1" applyBorder="1" applyAlignment="1">
      <alignment horizontal="center"/>
    </xf>
    <xf numFmtId="9" fontId="72" fillId="61" borderId="37" xfId="65" applyFont="1" applyFill="1" applyBorder="1" applyAlignment="1">
      <alignment horizontal="center"/>
    </xf>
    <xf numFmtId="167" fontId="93" fillId="0" borderId="35" xfId="8" applyFont="1" applyFill="1" applyBorder="1" applyAlignment="1" applyProtection="1">
      <alignment horizontal="right"/>
      <protection hidden="1"/>
    </xf>
    <xf numFmtId="10" fontId="93" fillId="0" borderId="35" xfId="16" applyNumberFormat="1" applyFont="1" applyFill="1" applyBorder="1" applyAlignment="1" applyProtection="1">
      <alignment horizontal="right"/>
      <protection hidden="1"/>
    </xf>
    <xf numFmtId="10" fontId="93" fillId="62" borderId="35" xfId="16" applyNumberFormat="1" applyFont="1" applyFill="1" applyBorder="1" applyAlignment="1" applyProtection="1">
      <alignment horizontal="right"/>
      <protection hidden="1"/>
    </xf>
    <xf numFmtId="0" fontId="93" fillId="0" borderId="38" xfId="13" applyFont="1" applyBorder="1" applyProtection="1">
      <protection hidden="1"/>
    </xf>
    <xf numFmtId="169" fontId="98" fillId="0" borderId="38" xfId="13" applyNumberFormat="1" applyFont="1" applyBorder="1" applyProtection="1">
      <protection hidden="1"/>
    </xf>
    <xf numFmtId="169" fontId="93" fillId="0" borderId="35" xfId="13" applyNumberFormat="1" applyFont="1" applyBorder="1" applyAlignment="1" applyProtection="1">
      <alignment horizontal="right"/>
      <protection hidden="1"/>
    </xf>
    <xf numFmtId="0" fontId="98" fillId="0" borderId="39" xfId="0" applyFont="1" applyBorder="1" applyAlignment="1">
      <alignment horizontal="right"/>
    </xf>
    <xf numFmtId="0" fontId="75" fillId="0" borderId="36" xfId="13" applyFont="1" applyBorder="1" applyProtection="1">
      <protection hidden="1"/>
    </xf>
    <xf numFmtId="169" fontId="94" fillId="0" borderId="38" xfId="13" applyNumberFormat="1" applyFont="1" applyBorder="1" applyProtection="1">
      <protection hidden="1"/>
    </xf>
    <xf numFmtId="169" fontId="94" fillId="0" borderId="35" xfId="13" applyNumberFormat="1" applyFont="1" applyBorder="1" applyAlignment="1" applyProtection="1">
      <alignment horizontal="right"/>
      <protection hidden="1"/>
    </xf>
    <xf numFmtId="2" fontId="67" fillId="0" borderId="36" xfId="13" applyNumberFormat="1" applyFont="1" applyBorder="1" applyAlignment="1" applyProtection="1">
      <alignment vertical="center"/>
      <protection hidden="1"/>
    </xf>
    <xf numFmtId="0" fontId="96" fillId="0" borderId="36" xfId="13" applyFont="1" applyBorder="1" applyProtection="1">
      <protection hidden="1"/>
    </xf>
    <xf numFmtId="9" fontId="72" fillId="0" borderId="37" xfId="16" applyFont="1" applyBorder="1" applyAlignment="1">
      <alignment horizontal="center"/>
    </xf>
    <xf numFmtId="9" fontId="72" fillId="2" borderId="37" xfId="65" applyFont="1" applyFill="1" applyBorder="1" applyAlignment="1">
      <alignment horizontal="center"/>
    </xf>
    <xf numFmtId="169" fontId="103" fillId="0" borderId="38" xfId="13" applyNumberFormat="1" applyFont="1" applyBorder="1" applyProtection="1">
      <protection hidden="1"/>
    </xf>
    <xf numFmtId="0" fontId="69" fillId="62" borderId="37" xfId="10" applyFont="1" applyFill="1" applyBorder="1"/>
    <xf numFmtId="0" fontId="80" fillId="61" borderId="37" xfId="59" applyFont="1" applyFill="1" applyBorder="1" applyAlignment="1">
      <alignment horizontal="left" vertical="top" wrapText="1"/>
    </xf>
    <xf numFmtId="0" fontId="67" fillId="0" borderId="37" xfId="0" applyFont="1" applyBorder="1" applyAlignment="1">
      <alignment horizontal="center"/>
    </xf>
    <xf numFmtId="167" fontId="67" fillId="0" borderId="37" xfId="8" applyFont="1" applyBorder="1"/>
    <xf numFmtId="44" fontId="71" fillId="35" borderId="37" xfId="66" applyFont="1" applyFill="1" applyBorder="1" applyAlignment="1" applyProtection="1">
      <protection locked="0"/>
    </xf>
    <xf numFmtId="167" fontId="72" fillId="0" borderId="37" xfId="8" applyFont="1" applyBorder="1"/>
    <xf numFmtId="0" fontId="79" fillId="61" borderId="36" xfId="9" applyFont="1" applyFill="1" applyBorder="1" applyAlignment="1" applyProtection="1">
      <alignment horizontal="left" vertical="center"/>
      <protection hidden="1"/>
    </xf>
    <xf numFmtId="0" fontId="84" fillId="61" borderId="38" xfId="10" applyFont="1" applyFill="1" applyBorder="1"/>
    <xf numFmtId="0" fontId="102" fillId="61" borderId="38" xfId="10" applyFont="1" applyFill="1" applyBorder="1"/>
    <xf numFmtId="0" fontId="102" fillId="61" borderId="35" xfId="10" applyFont="1" applyFill="1" applyBorder="1"/>
    <xf numFmtId="0" fontId="67" fillId="0" borderId="36" xfId="9" applyFont="1" applyBorder="1" applyAlignment="1" applyProtection="1">
      <alignment horizontal="left"/>
      <protection hidden="1"/>
    </xf>
    <xf numFmtId="0" fontId="67" fillId="0" borderId="35" xfId="9" applyFont="1" applyBorder="1" applyAlignment="1" applyProtection="1">
      <alignment horizontal="left"/>
      <protection hidden="1"/>
    </xf>
    <xf numFmtId="0" fontId="67" fillId="0" borderId="37" xfId="9" applyFont="1" applyBorder="1" applyAlignment="1" applyProtection="1">
      <alignment horizontal="left"/>
      <protection hidden="1"/>
    </xf>
    <xf numFmtId="0" fontId="67" fillId="0" borderId="37" xfId="9" applyFont="1" applyBorder="1" applyAlignment="1" applyProtection="1">
      <alignment horizontal="center"/>
      <protection hidden="1"/>
    </xf>
    <xf numFmtId="0" fontId="67" fillId="0" borderId="37" xfId="10" applyFont="1" applyBorder="1"/>
    <xf numFmtId="178" fontId="98" fillId="62" borderId="37" xfId="10" applyNumberFormat="1" applyFont="1" applyFill="1" applyBorder="1"/>
    <xf numFmtId="0" fontId="67" fillId="62" borderId="37" xfId="10" applyFont="1" applyFill="1" applyBorder="1"/>
    <xf numFmtId="0" fontId="84" fillId="61" borderId="35" xfId="10" applyFont="1" applyFill="1" applyBorder="1"/>
    <xf numFmtId="0" fontId="67" fillId="0" borderId="36" xfId="9" applyFont="1" applyBorder="1" applyAlignment="1" applyProtection="1">
      <alignment horizontal="left" vertical="top"/>
      <protection hidden="1"/>
    </xf>
    <xf numFmtId="0" fontId="67" fillId="0" borderId="38" xfId="9" applyFont="1" applyBorder="1" applyAlignment="1" applyProtection="1">
      <alignment horizontal="left" vertical="top"/>
      <protection hidden="1"/>
    </xf>
    <xf numFmtId="0" fontId="67" fillId="0" borderId="35" xfId="9" applyFont="1" applyBorder="1" applyAlignment="1" applyProtection="1">
      <alignment horizontal="center" vertical="top"/>
      <protection hidden="1"/>
    </xf>
    <xf numFmtId="0" fontId="67" fillId="62" borderId="38" xfId="10" applyFont="1" applyFill="1" applyBorder="1"/>
    <xf numFmtId="0" fontId="67" fillId="62" borderId="36" xfId="10" applyFont="1" applyFill="1" applyBorder="1"/>
    <xf numFmtId="0" fontId="67" fillId="0" borderId="38" xfId="10" applyFont="1" applyBorder="1"/>
    <xf numFmtId="0" fontId="67" fillId="0" borderId="37" xfId="9" applyFont="1" applyBorder="1" applyAlignment="1" applyProtection="1">
      <alignment horizontal="right"/>
      <protection hidden="1"/>
    </xf>
    <xf numFmtId="0" fontId="79" fillId="61" borderId="36" xfId="9" applyFont="1" applyFill="1" applyBorder="1" applyAlignment="1" applyProtection="1">
      <alignment vertical="center"/>
      <protection hidden="1"/>
    </xf>
    <xf numFmtId="0" fontId="67" fillId="0" borderId="37" xfId="9" applyFont="1" applyBorder="1" applyAlignment="1" applyProtection="1">
      <alignment horizontal="center" wrapText="1"/>
      <protection hidden="1"/>
    </xf>
    <xf numFmtId="172" fontId="80" fillId="61" borderId="33" xfId="8" applyNumberFormat="1" applyFont="1" applyFill="1" applyBorder="1" applyAlignment="1">
      <alignment vertical="top" wrapText="1"/>
    </xf>
    <xf numFmtId="0" fontId="67" fillId="0" borderId="37" xfId="103" applyFont="1" applyBorder="1" applyAlignment="1">
      <alignment vertical="top" wrapText="1"/>
    </xf>
    <xf numFmtId="44" fontId="67" fillId="63" borderId="37" xfId="66" applyFont="1" applyFill="1" applyBorder="1" applyAlignment="1" applyProtection="1">
      <protection locked="0"/>
    </xf>
    <xf numFmtId="2" fontId="80" fillId="61" borderId="33" xfId="84" applyNumberFormat="1" applyFont="1" applyFill="1" applyBorder="1" applyAlignment="1">
      <alignment horizontal="left" vertical="top" wrapText="1"/>
    </xf>
    <xf numFmtId="2" fontId="80" fillId="61" borderId="33" xfId="84" applyNumberFormat="1" applyFont="1" applyFill="1" applyBorder="1" applyAlignment="1">
      <alignment vertical="top" wrapText="1"/>
    </xf>
    <xf numFmtId="166" fontId="67" fillId="0" borderId="37" xfId="18" applyFont="1" applyBorder="1" applyAlignment="1">
      <alignment horizontal="center" vertical="top" wrapText="1"/>
    </xf>
    <xf numFmtId="44" fontId="67" fillId="0" borderId="37" xfId="66" applyFont="1" applyBorder="1" applyAlignment="1">
      <alignment vertical="top" wrapText="1"/>
    </xf>
    <xf numFmtId="49" fontId="67" fillId="0" borderId="37" xfId="103" applyNumberFormat="1" applyFont="1" applyBorder="1" applyAlignment="1">
      <alignment horizontal="center" vertical="top" wrapText="1"/>
    </xf>
    <xf numFmtId="166" fontId="67" fillId="65" borderId="37" xfId="18" applyFont="1" applyFill="1" applyBorder="1" applyAlignment="1">
      <alignment horizontal="center" vertical="top" wrapText="1"/>
    </xf>
    <xf numFmtId="44" fontId="67" fillId="62" borderId="37" xfId="66" applyFont="1" applyFill="1" applyBorder="1" applyAlignment="1">
      <alignment vertical="top" wrapText="1"/>
    </xf>
    <xf numFmtId="2" fontId="72" fillId="2" borderId="36" xfId="84" applyNumberFormat="1" applyFont="1" applyFill="1" applyBorder="1" applyAlignment="1">
      <alignment vertical="top" wrapText="1"/>
    </xf>
    <xf numFmtId="2" fontId="72" fillId="2" borderId="35" xfId="84" applyNumberFormat="1" applyFont="1" applyFill="1" applyBorder="1" applyAlignment="1">
      <alignment vertical="top" wrapText="1"/>
    </xf>
    <xf numFmtId="2" fontId="72" fillId="2" borderId="38" xfId="84" applyNumberFormat="1" applyFont="1" applyFill="1" applyBorder="1" applyAlignment="1">
      <alignment vertical="top" wrapText="1"/>
    </xf>
    <xf numFmtId="3" fontId="72" fillId="2" borderId="38" xfId="8" applyNumberFormat="1" applyFont="1" applyFill="1" applyBorder="1" applyAlignment="1">
      <alignment horizontal="center" vertical="top" wrapText="1"/>
    </xf>
    <xf numFmtId="179" fontId="72" fillId="2" borderId="36" xfId="84" applyNumberFormat="1" applyFont="1" applyFill="1" applyBorder="1" applyAlignment="1">
      <alignment vertical="top" wrapText="1"/>
    </xf>
    <xf numFmtId="179" fontId="72" fillId="2" borderId="35" xfId="84" applyNumberFormat="1" applyFont="1" applyFill="1" applyBorder="1" applyAlignment="1">
      <alignment vertical="top" wrapText="1"/>
    </xf>
    <xf numFmtId="0" fontId="67" fillId="0" borderId="37" xfId="89" applyFont="1" applyBorder="1" applyAlignment="1">
      <alignment horizontal="left" vertical="top"/>
    </xf>
    <xf numFmtId="2" fontId="67" fillId="0" borderId="0" xfId="17" applyNumberFormat="1" applyFont="1" applyAlignment="1">
      <alignment horizontal="center"/>
    </xf>
    <xf numFmtId="2" fontId="73" fillId="0" borderId="0" xfId="12" applyNumberFormat="1" applyFont="1"/>
    <xf numFmtId="2" fontId="73" fillId="0" borderId="0" xfId="12" applyNumberFormat="1" applyFont="1" applyAlignment="1">
      <alignment horizontal="right"/>
    </xf>
    <xf numFmtId="0" fontId="107" fillId="0" borderId="0" xfId="84" applyFont="1"/>
    <xf numFmtId="2" fontId="67" fillId="0" borderId="37" xfId="8" applyNumberFormat="1" applyFont="1" applyFill="1" applyBorder="1" applyAlignment="1">
      <alignment horizontal="center"/>
    </xf>
    <xf numFmtId="4" fontId="67" fillId="0" borderId="37" xfId="8" applyNumberFormat="1" applyFont="1" applyFill="1" applyBorder="1" applyAlignment="1">
      <alignment horizontal="center" vertical="top" wrapText="1"/>
    </xf>
    <xf numFmtId="4" fontId="72" fillId="2" borderId="38" xfId="8" applyNumberFormat="1" applyFont="1" applyFill="1" applyBorder="1" applyAlignment="1">
      <alignment horizontal="center" vertical="top" wrapText="1"/>
    </xf>
    <xf numFmtId="1" fontId="67" fillId="0" borderId="37" xfId="0" applyNumberFormat="1" applyFont="1" applyBorder="1" applyAlignment="1">
      <alignment horizontal="center"/>
    </xf>
    <xf numFmtId="0" fontId="67" fillId="0" borderId="16" xfId="0" applyFont="1" applyBorder="1" applyAlignment="1">
      <alignment horizontal="center" vertical="top" wrapText="1"/>
    </xf>
    <xf numFmtId="1" fontId="72" fillId="0" borderId="37" xfId="8" applyNumberFormat="1" applyFont="1" applyFill="1" applyBorder="1" applyAlignment="1">
      <alignment horizontal="center"/>
    </xf>
    <xf numFmtId="167" fontId="80" fillId="61" borderId="4" xfId="8" applyFont="1" applyFill="1" applyBorder="1" applyAlignment="1">
      <alignment horizontal="center" vertical="top" wrapText="1"/>
    </xf>
    <xf numFmtId="2" fontId="72" fillId="0" borderId="0" xfId="89" applyNumberFormat="1" applyFont="1" applyAlignment="1">
      <alignment wrapText="1"/>
    </xf>
    <xf numFmtId="167" fontId="67" fillId="0" borderId="0" xfId="8" applyFont="1" applyAlignment="1">
      <alignment wrapText="1"/>
    </xf>
    <xf numFmtId="172" fontId="80" fillId="61" borderId="36" xfId="8" applyNumberFormat="1" applyFont="1" applyFill="1" applyBorder="1" applyAlignment="1">
      <alignment horizontal="center" wrapText="1"/>
    </xf>
    <xf numFmtId="172" fontId="80" fillId="0" borderId="0" xfId="8" applyNumberFormat="1" applyFont="1" applyFill="1" applyBorder="1" applyAlignment="1">
      <alignment horizontal="center" wrapText="1"/>
    </xf>
    <xf numFmtId="172" fontId="72" fillId="0" borderId="0" xfId="8" applyNumberFormat="1" applyFont="1" applyAlignment="1">
      <alignment horizontal="center" wrapText="1"/>
    </xf>
    <xf numFmtId="0" fontId="67" fillId="0" borderId="0" xfId="89" applyFont="1" applyAlignment="1">
      <alignment wrapText="1"/>
    </xf>
    <xf numFmtId="172" fontId="80" fillId="0" borderId="40" xfId="8" applyNumberFormat="1" applyFont="1" applyFill="1" applyBorder="1" applyAlignment="1">
      <alignment horizontal="center" wrapText="1"/>
    </xf>
    <xf numFmtId="172" fontId="72" fillId="2" borderId="37" xfId="8" applyNumberFormat="1" applyFont="1" applyFill="1" applyBorder="1" applyAlignment="1">
      <alignment horizontal="center"/>
    </xf>
    <xf numFmtId="2" fontId="67" fillId="66" borderId="37" xfId="8" applyNumberFormat="1" applyFont="1" applyFill="1" applyBorder="1" applyAlignment="1">
      <alignment horizontal="center"/>
    </xf>
    <xf numFmtId="172" fontId="87" fillId="0" borderId="0" xfId="8" applyNumberFormat="1" applyFont="1" applyAlignment="1">
      <alignment horizontal="left"/>
    </xf>
    <xf numFmtId="2" fontId="80" fillId="61" borderId="36" xfId="0" applyNumberFormat="1" applyFont="1" applyFill="1" applyBorder="1" applyAlignment="1">
      <alignment horizontal="center" vertical="center" wrapText="1"/>
    </xf>
    <xf numFmtId="2" fontId="80" fillId="61" borderId="38" xfId="0" applyNumberFormat="1" applyFont="1" applyFill="1" applyBorder="1" applyAlignment="1">
      <alignment horizontal="center" vertical="center" wrapText="1"/>
    </xf>
    <xf numFmtId="2" fontId="80" fillId="61" borderId="35" xfId="0" applyNumberFormat="1" applyFont="1" applyFill="1" applyBorder="1" applyAlignment="1">
      <alignment horizontal="center" vertical="center" wrapText="1"/>
    </xf>
    <xf numFmtId="49" fontId="80" fillId="61" borderId="36" xfId="63" applyNumberFormat="1" applyFont="1" applyFill="1" applyBorder="1" applyAlignment="1">
      <alignment horizontal="left" vertical="top" wrapText="1"/>
    </xf>
    <xf numFmtId="49" fontId="80" fillId="61" borderId="38" xfId="63" applyNumberFormat="1" applyFont="1" applyFill="1" applyBorder="1" applyAlignment="1">
      <alignment horizontal="left" vertical="top" wrapText="1"/>
    </xf>
    <xf numFmtId="49" fontId="80" fillId="61" borderId="35" xfId="63" applyNumberFormat="1" applyFont="1" applyFill="1" applyBorder="1" applyAlignment="1">
      <alignment horizontal="left" vertical="top" wrapText="1"/>
    </xf>
    <xf numFmtId="0" fontId="67" fillId="0" borderId="36" xfId="0" applyFont="1" applyBorder="1" applyAlignment="1">
      <alignment horizontal="left"/>
    </xf>
    <xf numFmtId="0" fontId="67" fillId="0" borderId="35" xfId="0" applyFont="1" applyBorder="1" applyAlignment="1">
      <alignment horizontal="left"/>
    </xf>
    <xf numFmtId="0" fontId="72" fillId="0" borderId="36" xfId="13" applyFont="1" applyBorder="1" applyAlignment="1" applyProtection="1">
      <alignment horizontal="left" vertical="center"/>
      <protection hidden="1"/>
    </xf>
    <xf numFmtId="0" fontId="72" fillId="0" borderId="35" xfId="13" applyFont="1" applyBorder="1" applyAlignment="1" applyProtection="1">
      <alignment horizontal="left" vertical="center"/>
      <protection hidden="1"/>
    </xf>
    <xf numFmtId="2" fontId="101" fillId="61" borderId="37" xfId="13" applyNumberFormat="1" applyFont="1" applyFill="1" applyBorder="1" applyAlignment="1" applyProtection="1">
      <alignment horizontal="center" vertical="center" wrapText="1"/>
      <protection hidden="1"/>
    </xf>
    <xf numFmtId="2" fontId="101" fillId="61" borderId="36" xfId="3" applyNumberFormat="1" applyFont="1" applyFill="1" applyBorder="1" applyAlignment="1" applyProtection="1">
      <alignment horizontal="center" vertical="center" wrapText="1"/>
      <protection hidden="1"/>
    </xf>
    <xf numFmtId="0" fontId="80" fillId="61" borderId="35" xfId="0" applyFont="1" applyFill="1" applyBorder="1" applyAlignment="1">
      <alignment horizontal="center" vertical="center" wrapText="1"/>
    </xf>
    <xf numFmtId="0" fontId="67" fillId="0" borderId="0" xfId="0" applyFont="1" applyAlignment="1">
      <alignment horizontal="left" vertical="top" wrapText="1"/>
    </xf>
    <xf numFmtId="2" fontId="101" fillId="61" borderId="36" xfId="13" applyNumberFormat="1" applyFont="1" applyFill="1" applyBorder="1" applyAlignment="1" applyProtection="1">
      <alignment horizontal="center" vertical="center" wrapText="1"/>
      <protection hidden="1"/>
    </xf>
    <xf numFmtId="2" fontId="101" fillId="61" borderId="38" xfId="13" applyNumberFormat="1" applyFont="1" applyFill="1" applyBorder="1" applyAlignment="1" applyProtection="1">
      <alignment horizontal="center" vertical="center" wrapText="1"/>
      <protection hidden="1"/>
    </xf>
    <xf numFmtId="2" fontId="101" fillId="61" borderId="35" xfId="13" applyNumberFormat="1" applyFont="1" applyFill="1" applyBorder="1" applyAlignment="1" applyProtection="1">
      <alignment horizontal="center" vertical="center" wrapText="1"/>
      <protection hidden="1"/>
    </xf>
    <xf numFmtId="0" fontId="84" fillId="61" borderId="35" xfId="0" applyFont="1" applyFill="1" applyBorder="1" applyAlignment="1">
      <alignment horizontal="center" vertical="center" wrapText="1"/>
    </xf>
    <xf numFmtId="0" fontId="67" fillId="0" borderId="36" xfId="9" applyFont="1" applyBorder="1" applyAlignment="1" applyProtection="1">
      <alignment horizontal="center"/>
      <protection hidden="1"/>
    </xf>
    <xf numFmtId="0" fontId="67" fillId="0" borderId="38" xfId="9" applyFont="1" applyBorder="1" applyAlignment="1" applyProtection="1">
      <alignment horizontal="center"/>
      <protection hidden="1"/>
    </xf>
    <xf numFmtId="0" fontId="67" fillId="0" borderId="35" xfId="9" applyFont="1" applyBorder="1" applyAlignment="1" applyProtection="1">
      <alignment horizontal="center"/>
      <protection hidden="1"/>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9">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34289</xdr:rowOff>
    </xdr:from>
    <xdr:to>
      <xdr:col>16</xdr:col>
      <xdr:colOff>135255</xdr:colOff>
      <xdr:row>43</xdr:row>
      <xdr:rowOff>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56309"/>
          <a:ext cx="11174730" cy="60464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mn-lt"/>
              <a:ea typeface="+mn-ea"/>
              <a:cs typeface="+mn-cs"/>
            </a:rPr>
            <a:t>Algemeen</a:t>
          </a:r>
        </a:p>
        <a:p>
          <a:pPr marL="0" lvl="0" indent="0"/>
          <a:r>
            <a:rPr lang="nl-NL" sz="1200" b="0">
              <a:solidFill>
                <a:schemeClr val="dk1"/>
              </a:solidFill>
              <a:effectLst/>
              <a:latin typeface="+mn-lt"/>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mn-lt"/>
            <a:ea typeface="+mn-ea"/>
            <a:cs typeface="+mn-cs"/>
          </a:endParaRPr>
        </a:p>
        <a:p>
          <a:pPr lvl="0"/>
          <a:r>
            <a:rPr lang="nl-NL" sz="1200" b="0">
              <a:solidFill>
                <a:schemeClr val="dk1"/>
              </a:solidFill>
              <a:effectLst/>
              <a:latin typeface="+mn-lt"/>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Prijsniveau</a:t>
          </a:r>
        </a:p>
        <a:p>
          <a:r>
            <a:rPr lang="nl-NL" sz="1200" b="0">
              <a:solidFill>
                <a:schemeClr val="dk1"/>
              </a:solidFill>
              <a:effectLst/>
              <a:latin typeface="+mn-lt"/>
              <a:ea typeface="+mn-ea"/>
              <a:cs typeface="+mn-cs"/>
            </a:rPr>
            <a:t>Het loon- en prijspeil </a:t>
          </a:r>
          <a:r>
            <a:rPr lang="nl-NL" sz="1200" b="0">
              <a:solidFill>
                <a:srgbClr val="FF0000"/>
              </a:solidFill>
              <a:effectLst/>
              <a:latin typeface="+mn-lt"/>
              <a:ea typeface="+mn-ea"/>
              <a:cs typeface="+mn-cs"/>
            </a:rPr>
            <a:t>van 1 juli</a:t>
          </a:r>
          <a:r>
            <a:rPr lang="nl-NL" sz="1200" b="0" baseline="0">
              <a:solidFill>
                <a:srgbClr val="FF0000"/>
              </a:solidFill>
              <a:effectLst/>
              <a:latin typeface="+mn-lt"/>
              <a:ea typeface="+mn-ea"/>
              <a:cs typeface="+mn-cs"/>
            </a:rPr>
            <a:t> </a:t>
          </a:r>
          <a:r>
            <a:rPr lang="nl-NL" sz="1200" b="0">
              <a:solidFill>
                <a:srgbClr val="FF0000"/>
              </a:solidFill>
              <a:effectLst/>
              <a:latin typeface="+mn-lt"/>
              <a:ea typeface="+mn-ea"/>
              <a:cs typeface="+mn-cs"/>
            </a:rPr>
            <a:t>2024 </a:t>
          </a:r>
          <a:r>
            <a:rPr lang="nl-NL" sz="1200" b="0">
              <a:solidFill>
                <a:sysClr val="windowText" lastClr="000000"/>
              </a:solidFill>
              <a:effectLst/>
              <a:latin typeface="+mn-lt"/>
              <a:ea typeface="+mn-ea"/>
              <a:cs typeface="+mn-cs"/>
            </a:rPr>
            <a:t>is </a:t>
          </a:r>
          <a:r>
            <a:rPr lang="nl-NL" sz="1200" b="0">
              <a:solidFill>
                <a:schemeClr val="dk1"/>
              </a:solidFill>
              <a:effectLst/>
              <a:latin typeface="+mn-lt"/>
              <a:ea typeface="+mn-ea"/>
              <a:cs typeface="+mn-cs"/>
            </a:rPr>
            <a:t>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Ruimtestaat</a:t>
          </a:r>
        </a:p>
        <a:p>
          <a:r>
            <a:rPr lang="nl-NL" sz="1200" b="0">
              <a:solidFill>
                <a:schemeClr val="dk1"/>
              </a:solidFill>
              <a:effectLst/>
              <a:latin typeface="+mn-lt"/>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Contractjaarprijs</a:t>
          </a:r>
        </a:p>
        <a:p>
          <a:r>
            <a:rPr lang="nl-NL" sz="1200" b="0">
              <a:solidFill>
                <a:schemeClr val="dk1"/>
              </a:solidFill>
              <a:effectLst/>
              <a:latin typeface="+mn-lt"/>
              <a:ea typeface="+mn-ea"/>
              <a:cs typeface="+mn-cs"/>
            </a:rPr>
            <a:t>De contractjaarprijs is opgebouwd uit alle componenten die zijn opgenomen in het calculatiemodel met uitzondering </a:t>
          </a:r>
          <a:r>
            <a:rPr lang="nl-NL" sz="1200" b="0">
              <a:solidFill>
                <a:sysClr val="windowText" lastClr="000000"/>
              </a:solidFill>
              <a:effectLst/>
              <a:latin typeface="+mn-lt"/>
              <a:ea typeface="+mn-ea"/>
              <a:cs typeface="+mn-cs"/>
            </a:rPr>
            <a:t>van de afroepprijzen.</a:t>
          </a:r>
          <a:endParaRPr lang="nl-NL" sz="1200" b="1">
            <a:solidFill>
              <a:sysClr val="windowText" lastClr="000000"/>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Uurtarieven</a:t>
          </a:r>
        </a:p>
        <a:p>
          <a:r>
            <a:rPr lang="nl-NL" sz="1200" b="0">
              <a:solidFill>
                <a:schemeClr val="dk1"/>
              </a:solidFill>
              <a:effectLst/>
              <a:latin typeface="+mn-lt"/>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p>
        <a:p>
          <a:r>
            <a:rPr lang="nl-NL" sz="1200" b="0">
              <a:solidFill>
                <a:schemeClr val="dk1"/>
              </a:solidFill>
              <a:effectLst/>
              <a:latin typeface="+mn-lt"/>
              <a:ea typeface="+mn-ea"/>
              <a:cs typeface="+mn-cs"/>
            </a:rPr>
            <a:t>De opgegeven uurtarieven zijn, ten aanzien van de verdeling in loongroepen, gebaseerd op de gemiddelde eigenbedrijfssituatie.  Na gunning wordt het definitieve suppletiekosten component, op basis van de daadwerkelijk overgenomen medewerkers, vastgesteld en eventueel aangepast. Met deze aanpassing, die zowel hoger als lager kan zijn, is de definitieve contract jaarprijs voor de start van de overeenkomst vastgesteld. Dit tariefcomponent wordt gedurende de overeenkomst niet meer aangepast. </a:t>
          </a:r>
        </a:p>
        <a:p>
          <a:endParaRPr lang="nl-NL" sz="1200" b="1">
            <a:solidFill>
              <a:schemeClr val="dk1"/>
            </a:solidFill>
            <a:effectLst/>
            <a:latin typeface="+mn-lt"/>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220980</xdr:colOff>
      <xdr:row>28</xdr:row>
      <xdr:rowOff>9525</xdr:rowOff>
    </xdr:from>
    <xdr:to>
      <xdr:col>8</xdr:col>
      <xdr:colOff>112395</xdr:colOff>
      <xdr:row>37</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Century Gothic" panose="020B0502020202020204" pitchFamily="34"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a:p>
          <a:r>
            <a:rPr lang="nl-NL" sz="1100">
              <a:solidFill>
                <a:srgbClr val="FF0000"/>
              </a:solidFill>
              <a:effectLst/>
              <a:latin typeface="Century Gothic" panose="020B0502020202020204" pitchFamily="34" charset="0"/>
              <a:ea typeface="+mn-ea"/>
              <a:cs typeface="+mn-cs"/>
            </a:rPr>
            <a:t>Het component "Suppletiekosten toeslag"</a:t>
          </a:r>
          <a:r>
            <a:rPr lang="nl-NL" sz="1100" baseline="0">
              <a:solidFill>
                <a:srgbClr val="FF0000"/>
              </a:solidFill>
              <a:effectLst/>
              <a:latin typeface="Century Gothic" panose="020B0502020202020204" pitchFamily="34" charset="0"/>
              <a:ea typeface="+mn-ea"/>
              <a:cs typeface="+mn-cs"/>
            </a:rPr>
            <a:t> wordt na gunning, op basis van de daadwerkelijk overgenomen medewerkers, aangepast. Dit tariefcomponent wordt gedurende de contractperiode niet meer aangepast.</a:t>
          </a:r>
          <a:endParaRPr lang="nl-NL" sz="1000">
            <a:solidFill>
              <a:srgbClr val="FF0000"/>
            </a:solidFill>
            <a:effectLst/>
            <a:latin typeface="Century Gothic" panose="020B0502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0</xdr:rowOff>
    </xdr:from>
    <xdr:to>
      <xdr:col>14</xdr:col>
      <xdr:colOff>12144</xdr:colOff>
      <xdr:row>7</xdr:row>
      <xdr:rowOff>32106</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12978" y="0"/>
          <a:ext cx="6615430" cy="13163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Century Gothic" panose="020B0502020202020204" pitchFamily="34"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a:p>
          <a:r>
            <a:rPr lang="nl-NL" sz="1100">
              <a:solidFill>
                <a:srgbClr val="FF0000"/>
              </a:solidFill>
              <a:effectLst/>
              <a:latin typeface="Century Gothic" panose="020B0502020202020204" pitchFamily="34" charset="0"/>
              <a:ea typeface="+mn-ea"/>
              <a:cs typeface="+mn-cs"/>
            </a:rPr>
            <a:t>Het component "Suppletiekosten toeslag"</a:t>
          </a:r>
          <a:r>
            <a:rPr lang="nl-NL" sz="1100" baseline="0">
              <a:solidFill>
                <a:srgbClr val="FF0000"/>
              </a:solidFill>
              <a:effectLst/>
              <a:latin typeface="Century Gothic" panose="020B0502020202020204" pitchFamily="34" charset="0"/>
              <a:ea typeface="+mn-ea"/>
              <a:cs typeface="+mn-cs"/>
            </a:rPr>
            <a:t> wordt na gunning, op basis van de daadwerkelijk overgenomen medewerkers, aangepast. Dit tariefcomponent wordt gedurende de contractperiode niet meer aangepast.</a:t>
          </a:r>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questionmarkgroup.sharepoint.com/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questionmarkgroup.sharepoint.com/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questionmarkgroup.sharepoint.com/%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questionmarkgroup.sharepoint.com/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pane ySplit="4" topLeftCell="A5" activePane="bottomLeft" state="frozen"/>
      <selection pane="bottomLeft" activeCell="B2" sqref="B2"/>
    </sheetView>
  </sheetViews>
  <sheetFormatPr defaultRowHeight="12.6"/>
  <cols>
    <col min="1" max="1" width="27.6640625" customWidth="1"/>
  </cols>
  <sheetData>
    <row r="1" spans="1:13" ht="15">
      <c r="A1" s="24" t="s">
        <v>0</v>
      </c>
      <c r="B1" s="238" t="str">
        <f>'2-Kosten per locatie'!B3</f>
        <v>Basis calculatiemodel</v>
      </c>
    </row>
    <row r="2" spans="1:13" ht="15">
      <c r="A2" s="24" t="s">
        <v>1</v>
      </c>
      <c r="B2" s="238" t="str">
        <f ca="1">MID(CELL("bestandsnaam",$B$11),SEARCH("]",CELL("bestandsnaam",$B$11),1)+1,256)</f>
        <v>1-Uitgangspunten</v>
      </c>
    </row>
    <row r="3" spans="1:13" ht="15">
      <c r="A3" s="24" t="s">
        <v>2</v>
      </c>
      <c r="B3" s="238" t="str">
        <f>'2-Kosten per locatie'!B5</f>
        <v>Sliedrecht</v>
      </c>
    </row>
    <row r="4" spans="1:13" ht="15">
      <c r="A4" s="24" t="s">
        <v>3</v>
      </c>
      <c r="B4" s="238" t="str">
        <f>'2-Kosten per locatie'!B6</f>
        <v>GS-EA-MVD-SW-2023</v>
      </c>
      <c r="G4" s="240"/>
      <c r="H4" s="240"/>
      <c r="I4" s="240"/>
      <c r="J4" s="240"/>
      <c r="K4" s="240"/>
      <c r="L4" s="240"/>
      <c r="M4" s="240"/>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Z45"/>
  <sheetViews>
    <sheetView showGridLines="0" zoomScale="70" zoomScaleNormal="70" zoomScaleSheetLayoutView="50" zoomScalePageLayoutView="50" workbookViewId="0">
      <pane ySplit="12" topLeftCell="A36" activePane="bottomLeft" state="frozen"/>
      <selection activeCell="B1" sqref="B1"/>
      <selection pane="bottomLeft" activeCell="F44" sqref="F44"/>
    </sheetView>
  </sheetViews>
  <sheetFormatPr defaultColWidth="13.6640625" defaultRowHeight="13.2"/>
  <cols>
    <col min="1" max="1" width="46.109375" style="133" customWidth="1"/>
    <col min="2" max="2" width="29.109375" style="134" customWidth="1"/>
    <col min="3" max="3" width="27.5546875" style="134" customWidth="1"/>
    <col min="4" max="4" width="12.109375" style="133" customWidth="1"/>
    <col min="5" max="5" width="24.33203125" style="136" customWidth="1"/>
    <col min="6" max="6" width="16.109375" style="135" customWidth="1"/>
    <col min="7" max="7" width="13.6640625" style="136" customWidth="1"/>
    <col min="8" max="8" width="15.88671875" style="136" customWidth="1"/>
    <col min="9" max="247" width="13.6640625" style="133"/>
    <col min="248" max="248" width="22.109375" style="133" customWidth="1"/>
    <col min="249" max="255" width="13.6640625" style="133" customWidth="1"/>
    <col min="256" max="256" width="15.88671875" style="133" customWidth="1"/>
    <col min="257" max="257" width="16.5546875" style="133" bestFit="1" customWidth="1"/>
    <col min="258" max="258" width="13.6640625" style="133" customWidth="1"/>
    <col min="259" max="259" width="17.109375" style="133" bestFit="1" customWidth="1"/>
    <col min="260" max="260" width="4" style="133" customWidth="1"/>
    <col min="261" max="261" width="13.6640625" style="133" customWidth="1"/>
    <col min="262" max="503" width="13.6640625" style="133"/>
    <col min="504" max="504" width="22.109375" style="133" customWidth="1"/>
    <col min="505" max="511" width="13.6640625" style="133" customWidth="1"/>
    <col min="512" max="512" width="15.88671875" style="133" customWidth="1"/>
    <col min="513" max="513" width="16.5546875" style="133" bestFit="1" customWidth="1"/>
    <col min="514" max="514" width="13.6640625" style="133" customWidth="1"/>
    <col min="515" max="515" width="17.109375" style="133" bestFit="1" customWidth="1"/>
    <col min="516" max="516" width="4" style="133" customWidth="1"/>
    <col min="517" max="517" width="13.6640625" style="133" customWidth="1"/>
    <col min="518" max="759" width="13.6640625" style="133"/>
    <col min="760" max="760" width="22.109375" style="133" customWidth="1"/>
    <col min="761" max="767" width="13.6640625" style="133" customWidth="1"/>
    <col min="768" max="768" width="15.88671875" style="133" customWidth="1"/>
    <col min="769" max="769" width="16.5546875" style="133" bestFit="1" customWidth="1"/>
    <col min="770" max="770" width="13.6640625" style="133" customWidth="1"/>
    <col min="771" max="771" width="17.109375" style="133" bestFit="1" customWidth="1"/>
    <col min="772" max="772" width="4" style="133" customWidth="1"/>
    <col min="773" max="773" width="13.6640625" style="133" customWidth="1"/>
    <col min="774" max="1015" width="13.6640625" style="133"/>
    <col min="1016" max="1016" width="22.109375" style="133" customWidth="1"/>
    <col min="1017" max="1023" width="13.6640625" style="133" customWidth="1"/>
    <col min="1024" max="1024" width="15.88671875" style="133" customWidth="1"/>
    <col min="1025" max="1025" width="16.5546875" style="133" bestFit="1" customWidth="1"/>
    <col min="1026" max="1026" width="13.6640625" style="133" customWidth="1"/>
    <col min="1027" max="1027" width="17.109375" style="133" bestFit="1" customWidth="1"/>
    <col min="1028" max="1028" width="4" style="133" customWidth="1"/>
    <col min="1029" max="1029" width="13.6640625" style="133" customWidth="1"/>
    <col min="1030" max="1271" width="13.6640625" style="133"/>
    <col min="1272" max="1272" width="22.109375" style="133" customWidth="1"/>
    <col min="1273" max="1279" width="13.6640625" style="133" customWidth="1"/>
    <col min="1280" max="1280" width="15.88671875" style="133" customWidth="1"/>
    <col min="1281" max="1281" width="16.5546875" style="133" bestFit="1" customWidth="1"/>
    <col min="1282" max="1282" width="13.6640625" style="133" customWidth="1"/>
    <col min="1283" max="1283" width="17.109375" style="133" bestFit="1" customWidth="1"/>
    <col min="1284" max="1284" width="4" style="133" customWidth="1"/>
    <col min="1285" max="1285" width="13.6640625" style="133" customWidth="1"/>
    <col min="1286" max="1527" width="13.6640625" style="133"/>
    <col min="1528" max="1528" width="22.109375" style="133" customWidth="1"/>
    <col min="1529" max="1535" width="13.6640625" style="133" customWidth="1"/>
    <col min="1536" max="1536" width="15.88671875" style="133" customWidth="1"/>
    <col min="1537" max="1537" width="16.5546875" style="133" bestFit="1" customWidth="1"/>
    <col min="1538" max="1538" width="13.6640625" style="133" customWidth="1"/>
    <col min="1539" max="1539" width="17.109375" style="133" bestFit="1" customWidth="1"/>
    <col min="1540" max="1540" width="4" style="133" customWidth="1"/>
    <col min="1541" max="1541" width="13.6640625" style="133" customWidth="1"/>
    <col min="1542" max="1783" width="13.6640625" style="133"/>
    <col min="1784" max="1784" width="22.109375" style="133" customWidth="1"/>
    <col min="1785" max="1791" width="13.6640625" style="133" customWidth="1"/>
    <col min="1792" max="1792" width="15.88671875" style="133" customWidth="1"/>
    <col min="1793" max="1793" width="16.5546875" style="133" bestFit="1" customWidth="1"/>
    <col min="1794" max="1794" width="13.6640625" style="133" customWidth="1"/>
    <col min="1795" max="1795" width="17.109375" style="133" bestFit="1" customWidth="1"/>
    <col min="1796" max="1796" width="4" style="133" customWidth="1"/>
    <col min="1797" max="1797" width="13.6640625" style="133" customWidth="1"/>
    <col min="1798" max="2039" width="13.6640625" style="133"/>
    <col min="2040" max="2040" width="22.109375" style="133" customWidth="1"/>
    <col min="2041" max="2047" width="13.6640625" style="133" customWidth="1"/>
    <col min="2048" max="2048" width="15.88671875" style="133" customWidth="1"/>
    <col min="2049" max="2049" width="16.5546875" style="133" bestFit="1" customWidth="1"/>
    <col min="2050" max="2050" width="13.6640625" style="133" customWidth="1"/>
    <col min="2051" max="2051" width="17.109375" style="133" bestFit="1" customWidth="1"/>
    <col min="2052" max="2052" width="4" style="133" customWidth="1"/>
    <col min="2053" max="2053" width="13.6640625" style="133" customWidth="1"/>
    <col min="2054" max="2295" width="13.6640625" style="133"/>
    <col min="2296" max="2296" width="22.109375" style="133" customWidth="1"/>
    <col min="2297" max="2303" width="13.6640625" style="133" customWidth="1"/>
    <col min="2304" max="2304" width="15.88671875" style="133" customWidth="1"/>
    <col min="2305" max="2305" width="16.5546875" style="133" bestFit="1" customWidth="1"/>
    <col min="2306" max="2306" width="13.6640625" style="133" customWidth="1"/>
    <col min="2307" max="2307" width="17.109375" style="133" bestFit="1" customWidth="1"/>
    <col min="2308" max="2308" width="4" style="133" customWidth="1"/>
    <col min="2309" max="2309" width="13.6640625" style="133" customWidth="1"/>
    <col min="2310" max="2551" width="13.6640625" style="133"/>
    <col min="2552" max="2552" width="22.109375" style="133" customWidth="1"/>
    <col min="2553" max="2559" width="13.6640625" style="133" customWidth="1"/>
    <col min="2560" max="2560" width="15.88671875" style="133" customWidth="1"/>
    <col min="2561" max="2561" width="16.5546875" style="133" bestFit="1" customWidth="1"/>
    <col min="2562" max="2562" width="13.6640625" style="133" customWidth="1"/>
    <col min="2563" max="2563" width="17.109375" style="133" bestFit="1" customWidth="1"/>
    <col min="2564" max="2564" width="4" style="133" customWidth="1"/>
    <col min="2565" max="2565" width="13.6640625" style="133" customWidth="1"/>
    <col min="2566" max="2807" width="13.6640625" style="133"/>
    <col min="2808" max="2808" width="22.109375" style="133" customWidth="1"/>
    <col min="2809" max="2815" width="13.6640625" style="133" customWidth="1"/>
    <col min="2816" max="2816" width="15.88671875" style="133" customWidth="1"/>
    <col min="2817" max="2817" width="16.5546875" style="133" bestFit="1" customWidth="1"/>
    <col min="2818" max="2818" width="13.6640625" style="133" customWidth="1"/>
    <col min="2819" max="2819" width="17.109375" style="133" bestFit="1" customWidth="1"/>
    <col min="2820" max="2820" width="4" style="133" customWidth="1"/>
    <col min="2821" max="2821" width="13.6640625" style="133" customWidth="1"/>
    <col min="2822" max="3063" width="13.6640625" style="133"/>
    <col min="3064" max="3064" width="22.109375" style="133" customWidth="1"/>
    <col min="3065" max="3071" width="13.6640625" style="133" customWidth="1"/>
    <col min="3072" max="3072" width="15.88671875" style="133" customWidth="1"/>
    <col min="3073" max="3073" width="16.5546875" style="133" bestFit="1" customWidth="1"/>
    <col min="3074" max="3074" width="13.6640625" style="133" customWidth="1"/>
    <col min="3075" max="3075" width="17.109375" style="133" bestFit="1" customWidth="1"/>
    <col min="3076" max="3076" width="4" style="133" customWidth="1"/>
    <col min="3077" max="3077" width="13.6640625" style="133" customWidth="1"/>
    <col min="3078" max="3319" width="13.6640625" style="133"/>
    <col min="3320" max="3320" width="22.109375" style="133" customWidth="1"/>
    <col min="3321" max="3327" width="13.6640625" style="133" customWidth="1"/>
    <col min="3328" max="3328" width="15.88671875" style="133" customWidth="1"/>
    <col min="3329" max="3329" width="16.5546875" style="133" bestFit="1" customWidth="1"/>
    <col min="3330" max="3330" width="13.6640625" style="133" customWidth="1"/>
    <col min="3331" max="3331" width="17.109375" style="133" bestFit="1" customWidth="1"/>
    <col min="3332" max="3332" width="4" style="133" customWidth="1"/>
    <col min="3333" max="3333" width="13.6640625" style="133" customWidth="1"/>
    <col min="3334" max="3575" width="13.6640625" style="133"/>
    <col min="3576" max="3576" width="22.109375" style="133" customWidth="1"/>
    <col min="3577" max="3583" width="13.6640625" style="133" customWidth="1"/>
    <col min="3584" max="3584" width="15.88671875" style="133" customWidth="1"/>
    <col min="3585" max="3585" width="16.5546875" style="133" bestFit="1" customWidth="1"/>
    <col min="3586" max="3586" width="13.6640625" style="133" customWidth="1"/>
    <col min="3587" max="3587" width="17.109375" style="133" bestFit="1" customWidth="1"/>
    <col min="3588" max="3588" width="4" style="133" customWidth="1"/>
    <col min="3589" max="3589" width="13.6640625" style="133" customWidth="1"/>
    <col min="3590" max="3831" width="13.6640625" style="133"/>
    <col min="3832" max="3832" width="22.109375" style="133" customWidth="1"/>
    <col min="3833" max="3839" width="13.6640625" style="133" customWidth="1"/>
    <col min="3840" max="3840" width="15.88671875" style="133" customWidth="1"/>
    <col min="3841" max="3841" width="16.5546875" style="133" bestFit="1" customWidth="1"/>
    <col min="3842" max="3842" width="13.6640625" style="133" customWidth="1"/>
    <col min="3843" max="3843" width="17.109375" style="133" bestFit="1" customWidth="1"/>
    <col min="3844" max="3844" width="4" style="133" customWidth="1"/>
    <col min="3845" max="3845" width="13.6640625" style="133" customWidth="1"/>
    <col min="3846" max="4087" width="13.6640625" style="133"/>
    <col min="4088" max="4088" width="22.109375" style="133" customWidth="1"/>
    <col min="4089" max="4095" width="13.6640625" style="133" customWidth="1"/>
    <col min="4096" max="4096" width="15.88671875" style="133" customWidth="1"/>
    <col min="4097" max="4097" width="16.5546875" style="133" bestFit="1" customWidth="1"/>
    <col min="4098" max="4098" width="13.6640625" style="133" customWidth="1"/>
    <col min="4099" max="4099" width="17.109375" style="133" bestFit="1" customWidth="1"/>
    <col min="4100" max="4100" width="4" style="133" customWidth="1"/>
    <col min="4101" max="4101" width="13.6640625" style="133" customWidth="1"/>
    <col min="4102" max="4343" width="13.6640625" style="133"/>
    <col min="4344" max="4344" width="22.109375" style="133" customWidth="1"/>
    <col min="4345" max="4351" width="13.6640625" style="133" customWidth="1"/>
    <col min="4352" max="4352" width="15.88671875" style="133" customWidth="1"/>
    <col min="4353" max="4353" width="16.5546875" style="133" bestFit="1" customWidth="1"/>
    <col min="4354" max="4354" width="13.6640625" style="133" customWidth="1"/>
    <col min="4355" max="4355" width="17.109375" style="133" bestFit="1" customWidth="1"/>
    <col min="4356" max="4356" width="4" style="133" customWidth="1"/>
    <col min="4357" max="4357" width="13.6640625" style="133" customWidth="1"/>
    <col min="4358" max="4599" width="13.6640625" style="133"/>
    <col min="4600" max="4600" width="22.109375" style="133" customWidth="1"/>
    <col min="4601" max="4607" width="13.6640625" style="133" customWidth="1"/>
    <col min="4608" max="4608" width="15.88671875" style="133" customWidth="1"/>
    <col min="4609" max="4609" width="16.5546875" style="133" bestFit="1" customWidth="1"/>
    <col min="4610" max="4610" width="13.6640625" style="133" customWidth="1"/>
    <col min="4611" max="4611" width="17.109375" style="133" bestFit="1" customWidth="1"/>
    <col min="4612" max="4612" width="4" style="133" customWidth="1"/>
    <col min="4613" max="4613" width="13.6640625" style="133" customWidth="1"/>
    <col min="4614" max="4855" width="13.6640625" style="133"/>
    <col min="4856" max="4856" width="22.109375" style="133" customWidth="1"/>
    <col min="4857" max="4863" width="13.6640625" style="133" customWidth="1"/>
    <col min="4864" max="4864" width="15.88671875" style="133" customWidth="1"/>
    <col min="4865" max="4865" width="16.5546875" style="133" bestFit="1" customWidth="1"/>
    <col min="4866" max="4866" width="13.6640625" style="133" customWidth="1"/>
    <col min="4867" max="4867" width="17.109375" style="133" bestFit="1" customWidth="1"/>
    <col min="4868" max="4868" width="4" style="133" customWidth="1"/>
    <col min="4869" max="4869" width="13.6640625" style="133" customWidth="1"/>
    <col min="4870" max="5111" width="13.6640625" style="133"/>
    <col min="5112" max="5112" width="22.109375" style="133" customWidth="1"/>
    <col min="5113" max="5119" width="13.6640625" style="133" customWidth="1"/>
    <col min="5120" max="5120" width="15.88671875" style="133" customWidth="1"/>
    <col min="5121" max="5121" width="16.5546875" style="133" bestFit="1" customWidth="1"/>
    <col min="5122" max="5122" width="13.6640625" style="133" customWidth="1"/>
    <col min="5123" max="5123" width="17.109375" style="133" bestFit="1" customWidth="1"/>
    <col min="5124" max="5124" width="4" style="133" customWidth="1"/>
    <col min="5125" max="5125" width="13.6640625" style="133" customWidth="1"/>
    <col min="5126" max="5367" width="13.6640625" style="133"/>
    <col min="5368" max="5368" width="22.109375" style="133" customWidth="1"/>
    <col min="5369" max="5375" width="13.6640625" style="133" customWidth="1"/>
    <col min="5376" max="5376" width="15.88671875" style="133" customWidth="1"/>
    <col min="5377" max="5377" width="16.5546875" style="133" bestFit="1" customWidth="1"/>
    <col min="5378" max="5378" width="13.6640625" style="133" customWidth="1"/>
    <col min="5379" max="5379" width="17.109375" style="133" bestFit="1" customWidth="1"/>
    <col min="5380" max="5380" width="4" style="133" customWidth="1"/>
    <col min="5381" max="5381" width="13.6640625" style="133" customWidth="1"/>
    <col min="5382" max="5623" width="13.6640625" style="133"/>
    <col min="5624" max="5624" width="22.109375" style="133" customWidth="1"/>
    <col min="5625" max="5631" width="13.6640625" style="133" customWidth="1"/>
    <col min="5632" max="5632" width="15.88671875" style="133" customWidth="1"/>
    <col min="5633" max="5633" width="16.5546875" style="133" bestFit="1" customWidth="1"/>
    <col min="5634" max="5634" width="13.6640625" style="133" customWidth="1"/>
    <col min="5635" max="5635" width="17.109375" style="133" bestFit="1" customWidth="1"/>
    <col min="5636" max="5636" width="4" style="133" customWidth="1"/>
    <col min="5637" max="5637" width="13.6640625" style="133" customWidth="1"/>
    <col min="5638" max="5879" width="13.6640625" style="133"/>
    <col min="5880" max="5880" width="22.109375" style="133" customWidth="1"/>
    <col min="5881" max="5887" width="13.6640625" style="133" customWidth="1"/>
    <col min="5888" max="5888" width="15.88671875" style="133" customWidth="1"/>
    <col min="5889" max="5889" width="16.5546875" style="133" bestFit="1" customWidth="1"/>
    <col min="5890" max="5890" width="13.6640625" style="133" customWidth="1"/>
    <col min="5891" max="5891" width="17.109375" style="133" bestFit="1" customWidth="1"/>
    <col min="5892" max="5892" width="4" style="133" customWidth="1"/>
    <col min="5893" max="5893" width="13.6640625" style="133" customWidth="1"/>
    <col min="5894" max="6135" width="13.6640625" style="133"/>
    <col min="6136" max="6136" width="22.109375" style="133" customWidth="1"/>
    <col min="6137" max="6143" width="13.6640625" style="133" customWidth="1"/>
    <col min="6144" max="6144" width="15.88671875" style="133" customWidth="1"/>
    <col min="6145" max="6145" width="16.5546875" style="133" bestFit="1" customWidth="1"/>
    <col min="6146" max="6146" width="13.6640625" style="133" customWidth="1"/>
    <col min="6147" max="6147" width="17.109375" style="133" bestFit="1" customWidth="1"/>
    <col min="6148" max="6148" width="4" style="133" customWidth="1"/>
    <col min="6149" max="6149" width="13.6640625" style="133" customWidth="1"/>
    <col min="6150" max="6391" width="13.6640625" style="133"/>
    <col min="6392" max="6392" width="22.109375" style="133" customWidth="1"/>
    <col min="6393" max="6399" width="13.6640625" style="133" customWidth="1"/>
    <col min="6400" max="6400" width="15.88671875" style="133" customWidth="1"/>
    <col min="6401" max="6401" width="16.5546875" style="133" bestFit="1" customWidth="1"/>
    <col min="6402" max="6402" width="13.6640625" style="133" customWidth="1"/>
    <col min="6403" max="6403" width="17.109375" style="133" bestFit="1" customWidth="1"/>
    <col min="6404" max="6404" width="4" style="133" customWidth="1"/>
    <col min="6405" max="6405" width="13.6640625" style="133" customWidth="1"/>
    <col min="6406" max="6647" width="13.6640625" style="133"/>
    <col min="6648" max="6648" width="22.109375" style="133" customWidth="1"/>
    <col min="6649" max="6655" width="13.6640625" style="133" customWidth="1"/>
    <col min="6656" max="6656" width="15.88671875" style="133" customWidth="1"/>
    <col min="6657" max="6657" width="16.5546875" style="133" bestFit="1" customWidth="1"/>
    <col min="6658" max="6658" width="13.6640625" style="133" customWidth="1"/>
    <col min="6659" max="6659" width="17.109375" style="133" bestFit="1" customWidth="1"/>
    <col min="6660" max="6660" width="4" style="133" customWidth="1"/>
    <col min="6661" max="6661" width="13.6640625" style="133" customWidth="1"/>
    <col min="6662" max="6903" width="13.6640625" style="133"/>
    <col min="6904" max="6904" width="22.109375" style="133" customWidth="1"/>
    <col min="6905" max="6911" width="13.6640625" style="133" customWidth="1"/>
    <col min="6912" max="6912" width="15.88671875" style="133" customWidth="1"/>
    <col min="6913" max="6913" width="16.5546875" style="133" bestFit="1" customWidth="1"/>
    <col min="6914" max="6914" width="13.6640625" style="133" customWidth="1"/>
    <col min="6915" max="6915" width="17.109375" style="133" bestFit="1" customWidth="1"/>
    <col min="6916" max="6916" width="4" style="133" customWidth="1"/>
    <col min="6917" max="6917" width="13.6640625" style="133" customWidth="1"/>
    <col min="6918" max="7159" width="13.6640625" style="133"/>
    <col min="7160" max="7160" width="22.109375" style="133" customWidth="1"/>
    <col min="7161" max="7167" width="13.6640625" style="133" customWidth="1"/>
    <col min="7168" max="7168" width="15.88671875" style="133" customWidth="1"/>
    <col min="7169" max="7169" width="16.5546875" style="133" bestFit="1" customWidth="1"/>
    <col min="7170" max="7170" width="13.6640625" style="133" customWidth="1"/>
    <col min="7171" max="7171" width="17.109375" style="133" bestFit="1" customWidth="1"/>
    <col min="7172" max="7172" width="4" style="133" customWidth="1"/>
    <col min="7173" max="7173" width="13.6640625" style="133" customWidth="1"/>
    <col min="7174" max="7415" width="13.6640625" style="133"/>
    <col min="7416" max="7416" width="22.109375" style="133" customWidth="1"/>
    <col min="7417" max="7423" width="13.6640625" style="133" customWidth="1"/>
    <col min="7424" max="7424" width="15.88671875" style="133" customWidth="1"/>
    <col min="7425" max="7425" width="16.5546875" style="133" bestFit="1" customWidth="1"/>
    <col min="7426" max="7426" width="13.6640625" style="133" customWidth="1"/>
    <col min="7427" max="7427" width="17.109375" style="133" bestFit="1" customWidth="1"/>
    <col min="7428" max="7428" width="4" style="133" customWidth="1"/>
    <col min="7429" max="7429" width="13.6640625" style="133" customWidth="1"/>
    <col min="7430" max="7671" width="13.6640625" style="133"/>
    <col min="7672" max="7672" width="22.109375" style="133" customWidth="1"/>
    <col min="7673" max="7679" width="13.6640625" style="133" customWidth="1"/>
    <col min="7680" max="7680" width="15.88671875" style="133" customWidth="1"/>
    <col min="7681" max="7681" width="16.5546875" style="133" bestFit="1" customWidth="1"/>
    <col min="7682" max="7682" width="13.6640625" style="133" customWidth="1"/>
    <col min="7683" max="7683" width="17.109375" style="133" bestFit="1" customWidth="1"/>
    <col min="7684" max="7684" width="4" style="133" customWidth="1"/>
    <col min="7685" max="7685" width="13.6640625" style="133" customWidth="1"/>
    <col min="7686" max="7927" width="13.6640625" style="133"/>
    <col min="7928" max="7928" width="22.109375" style="133" customWidth="1"/>
    <col min="7929" max="7935" width="13.6640625" style="133" customWidth="1"/>
    <col min="7936" max="7936" width="15.88671875" style="133" customWidth="1"/>
    <col min="7937" max="7937" width="16.5546875" style="133" bestFit="1" customWidth="1"/>
    <col min="7938" max="7938" width="13.6640625" style="133" customWidth="1"/>
    <col min="7939" max="7939" width="17.109375" style="133" bestFit="1" customWidth="1"/>
    <col min="7940" max="7940" width="4" style="133" customWidth="1"/>
    <col min="7941" max="7941" width="13.6640625" style="133" customWidth="1"/>
    <col min="7942" max="8183" width="13.6640625" style="133"/>
    <col min="8184" max="8184" width="22.109375" style="133" customWidth="1"/>
    <col min="8185" max="8191" width="13.6640625" style="133" customWidth="1"/>
    <col min="8192" max="8192" width="15.88671875" style="133" customWidth="1"/>
    <col min="8193" max="8193" width="16.5546875" style="133" bestFit="1" customWidth="1"/>
    <col min="8194" max="8194" width="13.6640625" style="133" customWidth="1"/>
    <col min="8195" max="8195" width="17.109375" style="133" bestFit="1" customWidth="1"/>
    <col min="8196" max="8196" width="4" style="133" customWidth="1"/>
    <col min="8197" max="8197" width="13.6640625" style="133" customWidth="1"/>
    <col min="8198" max="8439" width="13.6640625" style="133"/>
    <col min="8440" max="8440" width="22.109375" style="133" customWidth="1"/>
    <col min="8441" max="8447" width="13.6640625" style="133" customWidth="1"/>
    <col min="8448" max="8448" width="15.88671875" style="133" customWidth="1"/>
    <col min="8449" max="8449" width="16.5546875" style="133" bestFit="1" customWidth="1"/>
    <col min="8450" max="8450" width="13.6640625" style="133" customWidth="1"/>
    <col min="8451" max="8451" width="17.109375" style="133" bestFit="1" customWidth="1"/>
    <col min="8452" max="8452" width="4" style="133" customWidth="1"/>
    <col min="8453" max="8453" width="13.6640625" style="133" customWidth="1"/>
    <col min="8454" max="8695" width="13.6640625" style="133"/>
    <col min="8696" max="8696" width="22.109375" style="133" customWidth="1"/>
    <col min="8697" max="8703" width="13.6640625" style="133" customWidth="1"/>
    <col min="8704" max="8704" width="15.88671875" style="133" customWidth="1"/>
    <col min="8705" max="8705" width="16.5546875" style="133" bestFit="1" customWidth="1"/>
    <col min="8706" max="8706" width="13.6640625" style="133" customWidth="1"/>
    <col min="8707" max="8707" width="17.109375" style="133" bestFit="1" customWidth="1"/>
    <col min="8708" max="8708" width="4" style="133" customWidth="1"/>
    <col min="8709" max="8709" width="13.6640625" style="133" customWidth="1"/>
    <col min="8710" max="8951" width="13.6640625" style="133"/>
    <col min="8952" max="8952" width="22.109375" style="133" customWidth="1"/>
    <col min="8953" max="8959" width="13.6640625" style="133" customWidth="1"/>
    <col min="8960" max="8960" width="15.88671875" style="133" customWidth="1"/>
    <col min="8961" max="8961" width="16.5546875" style="133" bestFit="1" customWidth="1"/>
    <col min="8962" max="8962" width="13.6640625" style="133" customWidth="1"/>
    <col min="8963" max="8963" width="17.109375" style="133" bestFit="1" customWidth="1"/>
    <col min="8964" max="8964" width="4" style="133" customWidth="1"/>
    <col min="8965" max="8965" width="13.6640625" style="133" customWidth="1"/>
    <col min="8966" max="9207" width="13.6640625" style="133"/>
    <col min="9208" max="9208" width="22.109375" style="133" customWidth="1"/>
    <col min="9209" max="9215" width="13.6640625" style="133" customWidth="1"/>
    <col min="9216" max="9216" width="15.88671875" style="133" customWidth="1"/>
    <col min="9217" max="9217" width="16.5546875" style="133" bestFit="1" customWidth="1"/>
    <col min="9218" max="9218" width="13.6640625" style="133" customWidth="1"/>
    <col min="9219" max="9219" width="17.109375" style="133" bestFit="1" customWidth="1"/>
    <col min="9220" max="9220" width="4" style="133" customWidth="1"/>
    <col min="9221" max="9221" width="13.6640625" style="133" customWidth="1"/>
    <col min="9222" max="9463" width="13.6640625" style="133"/>
    <col min="9464" max="9464" width="22.109375" style="133" customWidth="1"/>
    <col min="9465" max="9471" width="13.6640625" style="133" customWidth="1"/>
    <col min="9472" max="9472" width="15.88671875" style="133" customWidth="1"/>
    <col min="9473" max="9473" width="16.5546875" style="133" bestFit="1" customWidth="1"/>
    <col min="9474" max="9474" width="13.6640625" style="133" customWidth="1"/>
    <col min="9475" max="9475" width="17.109375" style="133" bestFit="1" customWidth="1"/>
    <col min="9476" max="9476" width="4" style="133" customWidth="1"/>
    <col min="9477" max="9477" width="13.6640625" style="133" customWidth="1"/>
    <col min="9478" max="9719" width="13.6640625" style="133"/>
    <col min="9720" max="9720" width="22.109375" style="133" customWidth="1"/>
    <col min="9721" max="9727" width="13.6640625" style="133" customWidth="1"/>
    <col min="9728" max="9728" width="15.88671875" style="133" customWidth="1"/>
    <col min="9729" max="9729" width="16.5546875" style="133" bestFit="1" customWidth="1"/>
    <col min="9730" max="9730" width="13.6640625" style="133" customWidth="1"/>
    <col min="9731" max="9731" width="17.109375" style="133" bestFit="1" customWidth="1"/>
    <col min="9732" max="9732" width="4" style="133" customWidth="1"/>
    <col min="9733" max="9733" width="13.6640625" style="133" customWidth="1"/>
    <col min="9734" max="9975" width="13.6640625" style="133"/>
    <col min="9976" max="9976" width="22.109375" style="133" customWidth="1"/>
    <col min="9977" max="9983" width="13.6640625" style="133" customWidth="1"/>
    <col min="9984" max="9984" width="15.88671875" style="133" customWidth="1"/>
    <col min="9985" max="9985" width="16.5546875" style="133" bestFit="1" customWidth="1"/>
    <col min="9986" max="9986" width="13.6640625" style="133" customWidth="1"/>
    <col min="9987" max="9987" width="17.109375" style="133" bestFit="1" customWidth="1"/>
    <col min="9988" max="9988" width="4" style="133" customWidth="1"/>
    <col min="9989" max="9989" width="13.6640625" style="133" customWidth="1"/>
    <col min="9990" max="10231" width="13.6640625" style="133"/>
    <col min="10232" max="10232" width="22.109375" style="133" customWidth="1"/>
    <col min="10233" max="10239" width="13.6640625" style="133" customWidth="1"/>
    <col min="10240" max="10240" width="15.88671875" style="133" customWidth="1"/>
    <col min="10241" max="10241" width="16.5546875" style="133" bestFit="1" customWidth="1"/>
    <col min="10242" max="10242" width="13.6640625" style="133" customWidth="1"/>
    <col min="10243" max="10243" width="17.109375" style="133" bestFit="1" customWidth="1"/>
    <col min="10244" max="10244" width="4" style="133" customWidth="1"/>
    <col min="10245" max="10245" width="13.6640625" style="133" customWidth="1"/>
    <col min="10246" max="10487" width="13.6640625" style="133"/>
    <col min="10488" max="10488" width="22.109375" style="133" customWidth="1"/>
    <col min="10489" max="10495" width="13.6640625" style="133" customWidth="1"/>
    <col min="10496" max="10496" width="15.88671875" style="133" customWidth="1"/>
    <col min="10497" max="10497" width="16.5546875" style="133" bestFit="1" customWidth="1"/>
    <col min="10498" max="10498" width="13.6640625" style="133" customWidth="1"/>
    <col min="10499" max="10499" width="17.109375" style="133" bestFit="1" customWidth="1"/>
    <col min="10500" max="10500" width="4" style="133" customWidth="1"/>
    <col min="10501" max="10501" width="13.6640625" style="133" customWidth="1"/>
    <col min="10502" max="10743" width="13.6640625" style="133"/>
    <col min="10744" max="10744" width="22.109375" style="133" customWidth="1"/>
    <col min="10745" max="10751" width="13.6640625" style="133" customWidth="1"/>
    <col min="10752" max="10752" width="15.88671875" style="133" customWidth="1"/>
    <col min="10753" max="10753" width="16.5546875" style="133" bestFit="1" customWidth="1"/>
    <col min="10754" max="10754" width="13.6640625" style="133" customWidth="1"/>
    <col min="10755" max="10755" width="17.109375" style="133" bestFit="1" customWidth="1"/>
    <col min="10756" max="10756" width="4" style="133" customWidth="1"/>
    <col min="10757" max="10757" width="13.6640625" style="133" customWidth="1"/>
    <col min="10758" max="10999" width="13.6640625" style="133"/>
    <col min="11000" max="11000" width="22.109375" style="133" customWidth="1"/>
    <col min="11001" max="11007" width="13.6640625" style="133" customWidth="1"/>
    <col min="11008" max="11008" width="15.88671875" style="133" customWidth="1"/>
    <col min="11009" max="11009" width="16.5546875" style="133" bestFit="1" customWidth="1"/>
    <col min="11010" max="11010" width="13.6640625" style="133" customWidth="1"/>
    <col min="11011" max="11011" width="17.109375" style="133" bestFit="1" customWidth="1"/>
    <col min="11012" max="11012" width="4" style="133" customWidth="1"/>
    <col min="11013" max="11013" width="13.6640625" style="133" customWidth="1"/>
    <col min="11014" max="11255" width="13.6640625" style="133"/>
    <col min="11256" max="11256" width="22.109375" style="133" customWidth="1"/>
    <col min="11257" max="11263" width="13.6640625" style="133" customWidth="1"/>
    <col min="11264" max="11264" width="15.88671875" style="133" customWidth="1"/>
    <col min="11265" max="11265" width="16.5546875" style="133" bestFit="1" customWidth="1"/>
    <col min="11266" max="11266" width="13.6640625" style="133" customWidth="1"/>
    <col min="11267" max="11267" width="17.109375" style="133" bestFit="1" customWidth="1"/>
    <col min="11268" max="11268" width="4" style="133" customWidth="1"/>
    <col min="11269" max="11269" width="13.6640625" style="133" customWidth="1"/>
    <col min="11270" max="11511" width="13.6640625" style="133"/>
    <col min="11512" max="11512" width="22.109375" style="133" customWidth="1"/>
    <col min="11513" max="11519" width="13.6640625" style="133" customWidth="1"/>
    <col min="11520" max="11520" width="15.88671875" style="133" customWidth="1"/>
    <col min="11521" max="11521" width="16.5546875" style="133" bestFit="1" customWidth="1"/>
    <col min="11522" max="11522" width="13.6640625" style="133" customWidth="1"/>
    <col min="11523" max="11523" width="17.109375" style="133" bestFit="1" customWidth="1"/>
    <col min="11524" max="11524" width="4" style="133" customWidth="1"/>
    <col min="11525" max="11525" width="13.6640625" style="133" customWidth="1"/>
    <col min="11526" max="11767" width="13.6640625" style="133"/>
    <col min="11768" max="11768" width="22.109375" style="133" customWidth="1"/>
    <col min="11769" max="11775" width="13.6640625" style="133" customWidth="1"/>
    <col min="11776" max="11776" width="15.88671875" style="133" customWidth="1"/>
    <col min="11777" max="11777" width="16.5546875" style="133" bestFit="1" customWidth="1"/>
    <col min="11778" max="11778" width="13.6640625" style="133" customWidth="1"/>
    <col min="11779" max="11779" width="17.109375" style="133" bestFit="1" customWidth="1"/>
    <col min="11780" max="11780" width="4" style="133" customWidth="1"/>
    <col min="11781" max="11781" width="13.6640625" style="133" customWidth="1"/>
    <col min="11782" max="12023" width="13.6640625" style="133"/>
    <col min="12024" max="12024" width="22.109375" style="133" customWidth="1"/>
    <col min="12025" max="12031" width="13.6640625" style="133" customWidth="1"/>
    <col min="12032" max="12032" width="15.88671875" style="133" customWidth="1"/>
    <col min="12033" max="12033" width="16.5546875" style="133" bestFit="1" customWidth="1"/>
    <col min="12034" max="12034" width="13.6640625" style="133" customWidth="1"/>
    <col min="12035" max="12035" width="17.109375" style="133" bestFit="1" customWidth="1"/>
    <col min="12036" max="12036" width="4" style="133" customWidth="1"/>
    <col min="12037" max="12037" width="13.6640625" style="133" customWidth="1"/>
    <col min="12038" max="12279" width="13.6640625" style="133"/>
    <col min="12280" max="12280" width="22.109375" style="133" customWidth="1"/>
    <col min="12281" max="12287" width="13.6640625" style="133" customWidth="1"/>
    <col min="12288" max="12288" width="15.88671875" style="133" customWidth="1"/>
    <col min="12289" max="12289" width="16.5546875" style="133" bestFit="1" customWidth="1"/>
    <col min="12290" max="12290" width="13.6640625" style="133" customWidth="1"/>
    <col min="12291" max="12291" width="17.109375" style="133" bestFit="1" customWidth="1"/>
    <col min="12292" max="12292" width="4" style="133" customWidth="1"/>
    <col min="12293" max="12293" width="13.6640625" style="133" customWidth="1"/>
    <col min="12294" max="12535" width="13.6640625" style="133"/>
    <col min="12536" max="12536" width="22.109375" style="133" customWidth="1"/>
    <col min="12537" max="12543" width="13.6640625" style="133" customWidth="1"/>
    <col min="12544" max="12544" width="15.88671875" style="133" customWidth="1"/>
    <col min="12545" max="12545" width="16.5546875" style="133" bestFit="1" customWidth="1"/>
    <col min="12546" max="12546" width="13.6640625" style="133" customWidth="1"/>
    <col min="12547" max="12547" width="17.109375" style="133" bestFit="1" customWidth="1"/>
    <col min="12548" max="12548" width="4" style="133" customWidth="1"/>
    <col min="12549" max="12549" width="13.6640625" style="133" customWidth="1"/>
    <col min="12550" max="12791" width="13.6640625" style="133"/>
    <col min="12792" max="12792" width="22.109375" style="133" customWidth="1"/>
    <col min="12793" max="12799" width="13.6640625" style="133" customWidth="1"/>
    <col min="12800" max="12800" width="15.88671875" style="133" customWidth="1"/>
    <col min="12801" max="12801" width="16.5546875" style="133" bestFit="1" customWidth="1"/>
    <col min="12802" max="12802" width="13.6640625" style="133" customWidth="1"/>
    <col min="12803" max="12803" width="17.109375" style="133" bestFit="1" customWidth="1"/>
    <col min="12804" max="12804" width="4" style="133" customWidth="1"/>
    <col min="12805" max="12805" width="13.6640625" style="133" customWidth="1"/>
    <col min="12806" max="13047" width="13.6640625" style="133"/>
    <col min="13048" max="13048" width="22.109375" style="133" customWidth="1"/>
    <col min="13049" max="13055" width="13.6640625" style="133" customWidth="1"/>
    <col min="13056" max="13056" width="15.88671875" style="133" customWidth="1"/>
    <col min="13057" max="13057" width="16.5546875" style="133" bestFit="1" customWidth="1"/>
    <col min="13058" max="13058" width="13.6640625" style="133" customWidth="1"/>
    <col min="13059" max="13059" width="17.109375" style="133" bestFit="1" customWidth="1"/>
    <col min="13060" max="13060" width="4" style="133" customWidth="1"/>
    <col min="13061" max="13061" width="13.6640625" style="133" customWidth="1"/>
    <col min="13062" max="13303" width="13.6640625" style="133"/>
    <col min="13304" max="13304" width="22.109375" style="133" customWidth="1"/>
    <col min="13305" max="13311" width="13.6640625" style="133" customWidth="1"/>
    <col min="13312" max="13312" width="15.88671875" style="133" customWidth="1"/>
    <col min="13313" max="13313" width="16.5546875" style="133" bestFit="1" customWidth="1"/>
    <col min="13314" max="13314" width="13.6640625" style="133" customWidth="1"/>
    <col min="13315" max="13315" width="17.109375" style="133" bestFit="1" customWidth="1"/>
    <col min="13316" max="13316" width="4" style="133" customWidth="1"/>
    <col min="13317" max="13317" width="13.6640625" style="133" customWidth="1"/>
    <col min="13318" max="13559" width="13.6640625" style="133"/>
    <col min="13560" max="13560" width="22.109375" style="133" customWidth="1"/>
    <col min="13561" max="13567" width="13.6640625" style="133" customWidth="1"/>
    <col min="13568" max="13568" width="15.88671875" style="133" customWidth="1"/>
    <col min="13569" max="13569" width="16.5546875" style="133" bestFit="1" customWidth="1"/>
    <col min="13570" max="13570" width="13.6640625" style="133" customWidth="1"/>
    <col min="13571" max="13571" width="17.109375" style="133" bestFit="1" customWidth="1"/>
    <col min="13572" max="13572" width="4" style="133" customWidth="1"/>
    <col min="13573" max="13573" width="13.6640625" style="133" customWidth="1"/>
    <col min="13574" max="13815" width="13.6640625" style="133"/>
    <col min="13816" max="13816" width="22.109375" style="133" customWidth="1"/>
    <col min="13817" max="13823" width="13.6640625" style="133" customWidth="1"/>
    <col min="13824" max="13824" width="15.88671875" style="133" customWidth="1"/>
    <col min="13825" max="13825" width="16.5546875" style="133" bestFit="1" customWidth="1"/>
    <col min="13826" max="13826" width="13.6640625" style="133" customWidth="1"/>
    <col min="13827" max="13827" width="17.109375" style="133" bestFit="1" customWidth="1"/>
    <col min="13828" max="13828" width="4" style="133" customWidth="1"/>
    <col min="13829" max="13829" width="13.6640625" style="133" customWidth="1"/>
    <col min="13830" max="14071" width="13.6640625" style="133"/>
    <col min="14072" max="14072" width="22.109375" style="133" customWidth="1"/>
    <col min="14073" max="14079" width="13.6640625" style="133" customWidth="1"/>
    <col min="14080" max="14080" width="15.88671875" style="133" customWidth="1"/>
    <col min="14081" max="14081" width="16.5546875" style="133" bestFit="1" customWidth="1"/>
    <col min="14082" max="14082" width="13.6640625" style="133" customWidth="1"/>
    <col min="14083" max="14083" width="17.109375" style="133" bestFit="1" customWidth="1"/>
    <col min="14084" max="14084" width="4" style="133" customWidth="1"/>
    <col min="14085" max="14085" width="13.6640625" style="133" customWidth="1"/>
    <col min="14086" max="14327" width="13.6640625" style="133"/>
    <col min="14328" max="14328" width="22.109375" style="133" customWidth="1"/>
    <col min="14329" max="14335" width="13.6640625" style="133" customWidth="1"/>
    <col min="14336" max="14336" width="15.88671875" style="133" customWidth="1"/>
    <col min="14337" max="14337" width="16.5546875" style="133" bestFit="1" customWidth="1"/>
    <col min="14338" max="14338" width="13.6640625" style="133" customWidth="1"/>
    <col min="14339" max="14339" width="17.109375" style="133" bestFit="1" customWidth="1"/>
    <col min="14340" max="14340" width="4" style="133" customWidth="1"/>
    <col min="14341" max="14341" width="13.6640625" style="133" customWidth="1"/>
    <col min="14342" max="14583" width="13.6640625" style="133"/>
    <col min="14584" max="14584" width="22.109375" style="133" customWidth="1"/>
    <col min="14585" max="14591" width="13.6640625" style="133" customWidth="1"/>
    <col min="14592" max="14592" width="15.88671875" style="133" customWidth="1"/>
    <col min="14593" max="14593" width="16.5546875" style="133" bestFit="1" customWidth="1"/>
    <col min="14594" max="14594" width="13.6640625" style="133" customWidth="1"/>
    <col min="14595" max="14595" width="17.109375" style="133" bestFit="1" customWidth="1"/>
    <col min="14596" max="14596" width="4" style="133" customWidth="1"/>
    <col min="14597" max="14597" width="13.6640625" style="133" customWidth="1"/>
    <col min="14598" max="14839" width="13.6640625" style="133"/>
    <col min="14840" max="14840" width="22.109375" style="133" customWidth="1"/>
    <col min="14841" max="14847" width="13.6640625" style="133" customWidth="1"/>
    <col min="14848" max="14848" width="15.88671875" style="133" customWidth="1"/>
    <col min="14849" max="14849" width="16.5546875" style="133" bestFit="1" customWidth="1"/>
    <col min="14850" max="14850" width="13.6640625" style="133" customWidth="1"/>
    <col min="14851" max="14851" width="17.109375" style="133" bestFit="1" customWidth="1"/>
    <col min="14852" max="14852" width="4" style="133" customWidth="1"/>
    <col min="14853" max="14853" width="13.6640625" style="133" customWidth="1"/>
    <col min="14854" max="15095" width="13.6640625" style="133"/>
    <col min="15096" max="15096" width="22.109375" style="133" customWidth="1"/>
    <col min="15097" max="15103" width="13.6640625" style="133" customWidth="1"/>
    <col min="15104" max="15104" width="15.88671875" style="133" customWidth="1"/>
    <col min="15105" max="15105" width="16.5546875" style="133" bestFit="1" customWidth="1"/>
    <col min="15106" max="15106" width="13.6640625" style="133" customWidth="1"/>
    <col min="15107" max="15107" width="17.109375" style="133" bestFit="1" customWidth="1"/>
    <col min="15108" max="15108" width="4" style="133" customWidth="1"/>
    <col min="15109" max="15109" width="13.6640625" style="133" customWidth="1"/>
    <col min="15110" max="15351" width="13.6640625" style="133"/>
    <col min="15352" max="15352" width="22.109375" style="133" customWidth="1"/>
    <col min="15353" max="15359" width="13.6640625" style="133" customWidth="1"/>
    <col min="15360" max="15360" width="15.88671875" style="133" customWidth="1"/>
    <col min="15361" max="15361" width="16.5546875" style="133" bestFit="1" customWidth="1"/>
    <col min="15362" max="15362" width="13.6640625" style="133" customWidth="1"/>
    <col min="15363" max="15363" width="17.109375" style="133" bestFit="1" customWidth="1"/>
    <col min="15364" max="15364" width="4" style="133" customWidth="1"/>
    <col min="15365" max="15365" width="13.6640625" style="133" customWidth="1"/>
    <col min="15366" max="15607" width="13.6640625" style="133"/>
    <col min="15608" max="15608" width="22.109375" style="133" customWidth="1"/>
    <col min="15609" max="15615" width="13.6640625" style="133" customWidth="1"/>
    <col min="15616" max="15616" width="15.88671875" style="133" customWidth="1"/>
    <col min="15617" max="15617" width="16.5546875" style="133" bestFit="1" customWidth="1"/>
    <col min="15618" max="15618" width="13.6640625" style="133" customWidth="1"/>
    <col min="15619" max="15619" width="17.109375" style="133" bestFit="1" customWidth="1"/>
    <col min="15620" max="15620" width="4" style="133" customWidth="1"/>
    <col min="15621" max="15621" width="13.6640625" style="133" customWidth="1"/>
    <col min="15622" max="15863" width="13.6640625" style="133"/>
    <col min="15864" max="15864" width="22.109375" style="133" customWidth="1"/>
    <col min="15865" max="15871" width="13.6640625" style="133" customWidth="1"/>
    <col min="15872" max="15872" width="15.88671875" style="133" customWidth="1"/>
    <col min="15873" max="15873" width="16.5546875" style="133" bestFit="1" customWidth="1"/>
    <col min="15874" max="15874" width="13.6640625" style="133" customWidth="1"/>
    <col min="15875" max="15875" width="17.109375" style="133" bestFit="1" customWidth="1"/>
    <col min="15876" max="15876" width="4" style="133" customWidth="1"/>
    <col min="15877" max="15877" width="13.6640625" style="133" customWidth="1"/>
    <col min="15878" max="16119" width="13.6640625" style="133"/>
    <col min="16120" max="16120" width="22.109375" style="133" customWidth="1"/>
    <col min="16121" max="16127" width="13.6640625" style="133" customWidth="1"/>
    <col min="16128" max="16128" width="15.88671875" style="133" customWidth="1"/>
    <col min="16129" max="16129" width="16.5546875" style="133" bestFit="1" customWidth="1"/>
    <col min="16130" max="16130" width="13.6640625" style="133" customWidth="1"/>
    <col min="16131" max="16131" width="17.109375" style="133" bestFit="1" customWidth="1"/>
    <col min="16132" max="16132" width="4" style="133" customWidth="1"/>
    <col min="16133" max="16133" width="13.6640625" style="133" customWidth="1"/>
    <col min="16134" max="16384" width="13.6640625" style="133"/>
  </cols>
  <sheetData>
    <row r="1" spans="1:26" s="124" customFormat="1">
      <c r="A1" s="303" t="s">
        <v>4</v>
      </c>
      <c r="B1" s="122"/>
      <c r="C1" s="122"/>
      <c r="D1" s="2"/>
      <c r="E1" s="2"/>
      <c r="F1" s="123"/>
      <c r="G1" s="2"/>
      <c r="H1" s="2"/>
    </row>
    <row r="2" spans="1:26" s="124" customFormat="1">
      <c r="A2" s="125"/>
      <c r="B2" s="122"/>
      <c r="C2" s="122"/>
      <c r="E2" s="409" t="s">
        <v>359</v>
      </c>
      <c r="F2" s="409" t="s">
        <v>360</v>
      </c>
      <c r="H2" s="2"/>
    </row>
    <row r="3" spans="1:26" s="124" customFormat="1" ht="15">
      <c r="A3" s="216" t="str">
        <f>'2-Kosten per locatie'!A3</f>
        <v>Naam opdrachtgever</v>
      </c>
      <c r="B3" s="15" t="str">
        <f>'2-Kosten per locatie'!B3</f>
        <v>Basis calculatiemodel</v>
      </c>
      <c r="C3" s="15"/>
      <c r="E3" s="410" t="s">
        <v>361</v>
      </c>
      <c r="F3" s="411">
        <v>0</v>
      </c>
      <c r="H3" s="2"/>
    </row>
    <row r="4" spans="1:26" s="124" customFormat="1" ht="15">
      <c r="A4" s="216" t="str">
        <f>'2-Kosten per locatie'!A4</f>
        <v>Calculatie onderdeel</v>
      </c>
      <c r="B4" s="15" t="str">
        <f ca="1">MID(CELL("bestandsnaam",$C$9),SEARCH("]",CELL("bestandsnaam",$C$9),1)+1,256)</f>
        <v>10-Glasbewassing</v>
      </c>
      <c r="C4" s="15"/>
      <c r="E4" s="410" t="s">
        <v>362</v>
      </c>
      <c r="F4" s="411">
        <v>0</v>
      </c>
      <c r="H4" s="2"/>
    </row>
    <row r="5" spans="1:26" s="124" customFormat="1" ht="15">
      <c r="A5" s="216" t="str">
        <f>'2-Kosten per locatie'!A5</f>
        <v>Gebouw/plaats</v>
      </c>
      <c r="B5" s="15" t="str">
        <f>'2-Kosten per locatie'!B5</f>
        <v>Sliedrecht</v>
      </c>
      <c r="C5" s="15"/>
      <c r="E5" s="255" t="s">
        <v>363</v>
      </c>
      <c r="F5" s="411">
        <v>0</v>
      </c>
      <c r="H5" s="126"/>
      <c r="J5" s="127"/>
      <c r="K5" s="126"/>
      <c r="L5" s="127"/>
      <c r="M5" s="127"/>
      <c r="N5" s="126"/>
      <c r="O5" s="128"/>
      <c r="P5" s="127"/>
      <c r="Q5" s="126"/>
      <c r="R5" s="127"/>
      <c r="S5" s="127"/>
      <c r="T5" s="126"/>
      <c r="U5" s="127"/>
      <c r="V5" s="127"/>
      <c r="W5" s="126"/>
      <c r="X5" s="127"/>
      <c r="Y5" s="127"/>
      <c r="Z5" s="126"/>
    </row>
    <row r="6" spans="1:26" s="124" customFormat="1" ht="17.25" customHeight="1">
      <c r="A6" s="216" t="str">
        <f>'2-Kosten per locatie'!A6</f>
        <v>Referentie nummer</v>
      </c>
      <c r="B6" s="15" t="str">
        <f>'2-Kosten per locatie'!B6</f>
        <v>GS-EA-MVD-SW-2023</v>
      </c>
      <c r="C6" s="15"/>
      <c r="E6" s="410" t="s">
        <v>364</v>
      </c>
      <c r="F6" s="411">
        <v>0</v>
      </c>
      <c r="H6" s="429"/>
      <c r="J6" s="129"/>
      <c r="K6" s="130"/>
      <c r="L6" s="127"/>
      <c r="M6" s="129"/>
      <c r="N6" s="130"/>
      <c r="O6" s="128"/>
      <c r="P6" s="129"/>
      <c r="Q6" s="130"/>
      <c r="R6" s="127"/>
      <c r="S6" s="129"/>
      <c r="T6" s="130"/>
      <c r="U6" s="127"/>
      <c r="V6" s="129"/>
      <c r="W6" s="130"/>
      <c r="X6" s="127"/>
      <c r="Y6" s="129"/>
      <c r="Z6" s="130"/>
    </row>
    <row r="7" spans="1:26" s="124" customFormat="1" ht="17.25" customHeight="1">
      <c r="A7" s="216" t="str">
        <f>'2-Kosten per locatie'!A7</f>
        <v>Naam dienstverlener</v>
      </c>
      <c r="B7" s="15" t="str">
        <f>'2-Kosten per locatie'!B7</f>
        <v>Gemeente Sliedrecht</v>
      </c>
      <c r="C7" s="103"/>
      <c r="E7" s="410" t="s">
        <v>364</v>
      </c>
      <c r="F7" s="411">
        <v>0</v>
      </c>
      <c r="H7" s="429"/>
    </row>
    <row r="8" spans="1:26" s="124" customFormat="1" ht="17.25" customHeight="1">
      <c r="A8" s="216" t="str">
        <f>'2-Kosten per locatie'!A8</f>
        <v>Prijspeil</v>
      </c>
      <c r="B8" s="241">
        <f>'2-Kosten per locatie'!B8</f>
        <v>45474</v>
      </c>
      <c r="C8" s="25"/>
      <c r="E8" s="410" t="s">
        <v>364</v>
      </c>
      <c r="F8" s="411">
        <v>0</v>
      </c>
      <c r="H8" s="126"/>
    </row>
    <row r="9" spans="1:26" s="124" customFormat="1" ht="17.25" customHeight="1">
      <c r="E9" s="410" t="s">
        <v>364</v>
      </c>
      <c r="F9" s="411">
        <v>0</v>
      </c>
      <c r="H9" s="126"/>
    </row>
    <row r="10" spans="1:26" s="124" customFormat="1" ht="17.25" customHeight="1">
      <c r="E10" s="410" t="s">
        <v>364</v>
      </c>
      <c r="F10" s="411">
        <v>0</v>
      </c>
      <c r="H10" s="126"/>
    </row>
    <row r="11" spans="1:26" s="124" customFormat="1" ht="15">
      <c r="A11" s="131"/>
      <c r="D11" s="127"/>
      <c r="F11" s="132"/>
      <c r="G11" s="127"/>
      <c r="H11" s="126"/>
    </row>
    <row r="12" spans="1:26" s="146" customFormat="1" ht="43.5" customHeight="1">
      <c r="A12" s="412" t="s">
        <v>23</v>
      </c>
      <c r="B12" s="413" t="s">
        <v>359</v>
      </c>
      <c r="C12" s="413" t="s">
        <v>365</v>
      </c>
      <c r="D12" s="409" t="s">
        <v>366</v>
      </c>
      <c r="E12" s="413" t="s">
        <v>367</v>
      </c>
      <c r="F12" s="413" t="s">
        <v>368</v>
      </c>
      <c r="G12" s="413" t="s">
        <v>369</v>
      </c>
      <c r="H12" s="413" t="s">
        <v>370</v>
      </c>
    </row>
    <row r="13" spans="1:26">
      <c r="A13" s="253" t="str">
        <f>'2-Kosten per locatie'!A15</f>
        <v>Sporthal t’ Crayenest</v>
      </c>
      <c r="B13" s="410" t="s">
        <v>361</v>
      </c>
      <c r="C13" s="410"/>
      <c r="D13" s="254">
        <v>21.23</v>
      </c>
      <c r="E13" s="414">
        <f>VLOOKUP(B13,$E$3:$F$10,2,FALSE)</f>
        <v>0</v>
      </c>
      <c r="F13" s="415">
        <f>(D13*E13)</f>
        <v>0</v>
      </c>
      <c r="G13" s="416" t="s">
        <v>371</v>
      </c>
      <c r="H13" s="415">
        <f t="shared" ref="H13:H43" si="0">G13*F13</f>
        <v>0</v>
      </c>
    </row>
    <row r="14" spans="1:26">
      <c r="A14" s="253" t="str">
        <f>'2-Kosten per locatie'!A15</f>
        <v>Sporthal t’ Crayenest</v>
      </c>
      <c r="B14" s="410" t="s">
        <v>362</v>
      </c>
      <c r="C14" s="410"/>
      <c r="D14" s="254">
        <v>21.23</v>
      </c>
      <c r="E14" s="414">
        <f>VLOOKUP(B14,$E$3:$F$10,2,FALSE)</f>
        <v>0</v>
      </c>
      <c r="F14" s="415">
        <f t="shared" ref="F14:F42" si="1">(D14*E14)</f>
        <v>0</v>
      </c>
      <c r="G14" s="416" t="s">
        <v>371</v>
      </c>
      <c r="H14" s="415">
        <f t="shared" si="0"/>
        <v>0</v>
      </c>
    </row>
    <row r="15" spans="1:26">
      <c r="A15" s="253" t="str">
        <f>'2-Kosten per locatie'!A15</f>
        <v>Sporthal t’ Crayenest</v>
      </c>
      <c r="B15" s="255" t="s">
        <v>363</v>
      </c>
      <c r="C15" s="255"/>
      <c r="D15" s="254">
        <v>9.9</v>
      </c>
      <c r="E15" s="414">
        <f>VLOOKUP(B15,$E$3:$F$10,2,FALSE)</f>
        <v>0</v>
      </c>
      <c r="F15" s="415">
        <f t="shared" si="1"/>
        <v>0</v>
      </c>
      <c r="G15" s="416" t="s">
        <v>371</v>
      </c>
      <c r="H15" s="415">
        <f t="shared" si="0"/>
        <v>0</v>
      </c>
    </row>
    <row r="16" spans="1:26">
      <c r="A16" s="253" t="str">
        <f>'2-Kosten per locatie'!A16</f>
        <v>wijkonderkomen begraafplaats</v>
      </c>
      <c r="B16" s="410" t="s">
        <v>361</v>
      </c>
      <c r="C16" s="255"/>
      <c r="D16" s="254">
        <v>95.22</v>
      </c>
      <c r="E16" s="414">
        <f t="shared" ref="E16:E42" si="2">VLOOKUP(B16,$E$3:$F$10,2,FALSE)</f>
        <v>0</v>
      </c>
      <c r="F16" s="415">
        <f t="shared" si="1"/>
        <v>0</v>
      </c>
      <c r="G16" s="416" t="s">
        <v>371</v>
      </c>
      <c r="H16" s="415">
        <f t="shared" si="0"/>
        <v>0</v>
      </c>
    </row>
    <row r="17" spans="1:8">
      <c r="A17" s="253" t="s">
        <v>30</v>
      </c>
      <c r="B17" s="410" t="s">
        <v>362</v>
      </c>
      <c r="C17" s="255"/>
      <c r="D17" s="254">
        <v>95.22</v>
      </c>
      <c r="E17" s="414">
        <f t="shared" si="2"/>
        <v>0</v>
      </c>
      <c r="F17" s="415">
        <f t="shared" si="1"/>
        <v>0</v>
      </c>
      <c r="G17" s="416" t="s">
        <v>371</v>
      </c>
      <c r="H17" s="415">
        <f t="shared" si="0"/>
        <v>0</v>
      </c>
    </row>
    <row r="18" spans="1:8">
      <c r="A18" s="253" t="s">
        <v>30</v>
      </c>
      <c r="B18" s="255" t="s">
        <v>363</v>
      </c>
      <c r="C18" s="255"/>
      <c r="D18" s="254">
        <v>99.56</v>
      </c>
      <c r="E18" s="414">
        <f t="shared" si="2"/>
        <v>0</v>
      </c>
      <c r="F18" s="415">
        <f t="shared" si="1"/>
        <v>0</v>
      </c>
      <c r="G18" s="416" t="s">
        <v>371</v>
      </c>
      <c r="H18" s="415">
        <f t="shared" si="0"/>
        <v>0</v>
      </c>
    </row>
    <row r="19" spans="1:8">
      <c r="A19" s="253" t="s">
        <v>34</v>
      </c>
      <c r="B19" s="410" t="s">
        <v>361</v>
      </c>
      <c r="C19" s="255"/>
      <c r="D19" s="254">
        <v>253.75</v>
      </c>
      <c r="E19" s="414">
        <f t="shared" si="2"/>
        <v>0</v>
      </c>
      <c r="F19" s="415">
        <f t="shared" si="1"/>
        <v>0</v>
      </c>
      <c r="G19" s="416" t="s">
        <v>371</v>
      </c>
      <c r="H19" s="415">
        <f t="shared" si="0"/>
        <v>0</v>
      </c>
    </row>
    <row r="20" spans="1:8">
      <c r="A20" s="253" t="s">
        <v>34</v>
      </c>
      <c r="B20" s="410" t="s">
        <v>362</v>
      </c>
      <c r="C20" s="255"/>
      <c r="D20" s="254">
        <v>253.75</v>
      </c>
      <c r="E20" s="414">
        <f t="shared" si="2"/>
        <v>0</v>
      </c>
      <c r="F20" s="415">
        <f t="shared" si="1"/>
        <v>0</v>
      </c>
      <c r="G20" s="416" t="s">
        <v>371</v>
      </c>
      <c r="H20" s="415">
        <f t="shared" si="0"/>
        <v>0</v>
      </c>
    </row>
    <row r="21" spans="1:8">
      <c r="A21" s="253" t="s">
        <v>34</v>
      </c>
      <c r="B21" s="255" t="s">
        <v>363</v>
      </c>
      <c r="C21" s="255"/>
      <c r="D21" s="254">
        <v>26.26</v>
      </c>
      <c r="E21" s="414">
        <f t="shared" si="2"/>
        <v>0</v>
      </c>
      <c r="F21" s="415">
        <f t="shared" si="1"/>
        <v>0</v>
      </c>
      <c r="G21" s="416" t="s">
        <v>371</v>
      </c>
      <c r="H21" s="415">
        <f t="shared" si="0"/>
        <v>0</v>
      </c>
    </row>
    <row r="22" spans="1:8">
      <c r="A22" s="253" t="s">
        <v>35</v>
      </c>
      <c r="B22" s="410" t="s">
        <v>361</v>
      </c>
      <c r="C22" s="255"/>
      <c r="D22" s="254">
        <v>91.78</v>
      </c>
      <c r="E22" s="414">
        <f t="shared" si="2"/>
        <v>0</v>
      </c>
      <c r="F22" s="415">
        <f t="shared" si="1"/>
        <v>0</v>
      </c>
      <c r="G22" s="416" t="s">
        <v>371</v>
      </c>
      <c r="H22" s="415">
        <f t="shared" si="0"/>
        <v>0</v>
      </c>
    </row>
    <row r="23" spans="1:8">
      <c r="A23" s="253" t="s">
        <v>35</v>
      </c>
      <c r="B23" s="410" t="s">
        <v>362</v>
      </c>
      <c r="C23" s="255"/>
      <c r="D23" s="254">
        <v>91.78</v>
      </c>
      <c r="E23" s="414">
        <f t="shared" si="2"/>
        <v>0</v>
      </c>
      <c r="F23" s="415">
        <f t="shared" si="1"/>
        <v>0</v>
      </c>
      <c r="G23" s="416" t="s">
        <v>371</v>
      </c>
      <c r="H23" s="415">
        <f t="shared" si="0"/>
        <v>0</v>
      </c>
    </row>
    <row r="24" spans="1:8">
      <c r="A24" s="253" t="s">
        <v>35</v>
      </c>
      <c r="B24" s="255" t="s">
        <v>363</v>
      </c>
      <c r="C24" s="255"/>
      <c r="D24" s="254">
        <v>83.19</v>
      </c>
      <c r="E24" s="414">
        <f t="shared" si="2"/>
        <v>0</v>
      </c>
      <c r="F24" s="415">
        <f t="shared" si="1"/>
        <v>0</v>
      </c>
      <c r="G24" s="416" t="s">
        <v>371</v>
      </c>
      <c r="H24" s="415">
        <f t="shared" si="0"/>
        <v>0</v>
      </c>
    </row>
    <row r="25" spans="1:8">
      <c r="A25" s="253" t="s">
        <v>36</v>
      </c>
      <c r="B25" s="410" t="s">
        <v>361</v>
      </c>
      <c r="C25" s="255"/>
      <c r="D25" s="254">
        <v>320.32</v>
      </c>
      <c r="E25" s="414">
        <f t="shared" si="2"/>
        <v>0</v>
      </c>
      <c r="F25" s="415">
        <f t="shared" si="1"/>
        <v>0</v>
      </c>
      <c r="G25" s="416" t="s">
        <v>371</v>
      </c>
      <c r="H25" s="415">
        <f t="shared" si="0"/>
        <v>0</v>
      </c>
    </row>
    <row r="26" spans="1:8">
      <c r="A26" s="253" t="s">
        <v>36</v>
      </c>
      <c r="B26" s="410" t="s">
        <v>362</v>
      </c>
      <c r="C26" s="255"/>
      <c r="D26" s="254">
        <v>320.32</v>
      </c>
      <c r="E26" s="414">
        <f t="shared" si="2"/>
        <v>0</v>
      </c>
      <c r="F26" s="415">
        <f t="shared" si="1"/>
        <v>0</v>
      </c>
      <c r="G26" s="416" t="s">
        <v>371</v>
      </c>
      <c r="H26" s="415">
        <f t="shared" si="0"/>
        <v>0</v>
      </c>
    </row>
    <row r="27" spans="1:8">
      <c r="A27" s="253" t="s">
        <v>36</v>
      </c>
      <c r="B27" s="255" t="s">
        <v>363</v>
      </c>
      <c r="C27" s="255"/>
      <c r="D27" s="254">
        <v>231.34</v>
      </c>
      <c r="E27" s="414">
        <f t="shared" si="2"/>
        <v>0</v>
      </c>
      <c r="F27" s="415">
        <f t="shared" si="1"/>
        <v>0</v>
      </c>
      <c r="G27" s="416" t="s">
        <v>371</v>
      </c>
      <c r="H27" s="415">
        <f t="shared" si="0"/>
        <v>0</v>
      </c>
    </row>
    <row r="28" spans="1:8">
      <c r="A28" s="253" t="s">
        <v>37</v>
      </c>
      <c r="B28" s="410" t="s">
        <v>361</v>
      </c>
      <c r="C28" s="255"/>
      <c r="D28" s="254">
        <v>224.97</v>
      </c>
      <c r="E28" s="414">
        <f t="shared" si="2"/>
        <v>0</v>
      </c>
      <c r="F28" s="415">
        <f t="shared" si="1"/>
        <v>0</v>
      </c>
      <c r="G28" s="416" t="s">
        <v>371</v>
      </c>
      <c r="H28" s="415">
        <f t="shared" si="0"/>
        <v>0</v>
      </c>
    </row>
    <row r="29" spans="1:8">
      <c r="A29" s="253" t="s">
        <v>37</v>
      </c>
      <c r="B29" s="410" t="s">
        <v>362</v>
      </c>
      <c r="C29" s="255"/>
      <c r="D29" s="254">
        <v>214.89</v>
      </c>
      <c r="E29" s="414">
        <f t="shared" si="2"/>
        <v>0</v>
      </c>
      <c r="F29" s="415">
        <f t="shared" si="1"/>
        <v>0</v>
      </c>
      <c r="G29" s="416" t="s">
        <v>371</v>
      </c>
      <c r="H29" s="415">
        <f t="shared" si="0"/>
        <v>0</v>
      </c>
    </row>
    <row r="30" spans="1:8">
      <c r="A30" s="253" t="s">
        <v>37</v>
      </c>
      <c r="B30" s="255" t="s">
        <v>363</v>
      </c>
      <c r="C30" s="255"/>
      <c r="D30" s="254">
        <v>30.34</v>
      </c>
      <c r="E30" s="414">
        <f t="shared" si="2"/>
        <v>0</v>
      </c>
      <c r="F30" s="415">
        <f t="shared" si="1"/>
        <v>0</v>
      </c>
      <c r="G30" s="416" t="s">
        <v>371</v>
      </c>
      <c r="H30" s="415">
        <f t="shared" si="0"/>
        <v>0</v>
      </c>
    </row>
    <row r="31" spans="1:8">
      <c r="A31" s="253" t="s">
        <v>31</v>
      </c>
      <c r="B31" s="410" t="s">
        <v>361</v>
      </c>
      <c r="C31" s="255"/>
      <c r="D31" s="254">
        <v>74.52</v>
      </c>
      <c r="E31" s="414">
        <f t="shared" si="2"/>
        <v>0</v>
      </c>
      <c r="F31" s="415">
        <f t="shared" si="1"/>
        <v>0</v>
      </c>
      <c r="G31" s="416" t="s">
        <v>371</v>
      </c>
      <c r="H31" s="415">
        <f t="shared" si="0"/>
        <v>0</v>
      </c>
    </row>
    <row r="32" spans="1:8">
      <c r="A32" s="253" t="s">
        <v>31</v>
      </c>
      <c r="B32" s="410" t="s">
        <v>362</v>
      </c>
      <c r="C32" s="255"/>
      <c r="D32" s="254">
        <v>74.52</v>
      </c>
      <c r="E32" s="414">
        <f t="shared" si="2"/>
        <v>0</v>
      </c>
      <c r="F32" s="415">
        <f t="shared" si="1"/>
        <v>0</v>
      </c>
      <c r="G32" s="416" t="s">
        <v>371</v>
      </c>
      <c r="H32" s="415">
        <f>G32*F32</f>
        <v>0</v>
      </c>
    </row>
    <row r="33" spans="1:8">
      <c r="A33" s="253" t="s">
        <v>31</v>
      </c>
      <c r="B33" s="255" t="s">
        <v>363</v>
      </c>
      <c r="C33" s="255"/>
      <c r="D33" s="254">
        <v>25</v>
      </c>
      <c r="E33" s="414">
        <f t="shared" si="2"/>
        <v>0</v>
      </c>
      <c r="F33" s="415">
        <f t="shared" si="1"/>
        <v>0</v>
      </c>
      <c r="G33" s="416" t="s">
        <v>371</v>
      </c>
      <c r="H33" s="415">
        <f t="shared" si="0"/>
        <v>0</v>
      </c>
    </row>
    <row r="34" spans="1:8">
      <c r="A34" s="253" t="s">
        <v>38</v>
      </c>
      <c r="B34" s="410" t="s">
        <v>361</v>
      </c>
      <c r="C34" s="256" t="s">
        <v>372</v>
      </c>
      <c r="D34" s="254">
        <v>569.94000000000005</v>
      </c>
      <c r="E34" s="414">
        <f t="shared" si="2"/>
        <v>0</v>
      </c>
      <c r="F34" s="415">
        <f t="shared" si="1"/>
        <v>0</v>
      </c>
      <c r="G34" s="416" t="s">
        <v>371</v>
      </c>
      <c r="H34" s="415">
        <f t="shared" si="0"/>
        <v>0</v>
      </c>
    </row>
    <row r="35" spans="1:8">
      <c r="A35" s="253" t="s">
        <v>38</v>
      </c>
      <c r="B35" s="410" t="s">
        <v>362</v>
      </c>
      <c r="C35" s="256" t="s">
        <v>372</v>
      </c>
      <c r="D35" s="254">
        <v>569.94000000000005</v>
      </c>
      <c r="E35" s="414">
        <f t="shared" si="2"/>
        <v>0</v>
      </c>
      <c r="F35" s="415">
        <f t="shared" si="1"/>
        <v>0</v>
      </c>
      <c r="G35" s="416" t="s">
        <v>371</v>
      </c>
      <c r="H35" s="415">
        <f t="shared" si="0"/>
        <v>0</v>
      </c>
    </row>
    <row r="36" spans="1:8">
      <c r="A36" s="253" t="s">
        <v>38</v>
      </c>
      <c r="B36" s="255" t="s">
        <v>363</v>
      </c>
      <c r="C36" s="256" t="s">
        <v>372</v>
      </c>
      <c r="D36" s="254">
        <v>1530.13</v>
      </c>
      <c r="E36" s="414">
        <f t="shared" si="2"/>
        <v>0</v>
      </c>
      <c r="F36" s="415">
        <f t="shared" si="1"/>
        <v>0</v>
      </c>
      <c r="G36" s="416" t="s">
        <v>371</v>
      </c>
      <c r="H36" s="415">
        <f t="shared" si="0"/>
        <v>0</v>
      </c>
    </row>
    <row r="37" spans="1:8">
      <c r="A37" s="253" t="s">
        <v>38</v>
      </c>
      <c r="B37" s="410" t="s">
        <v>361</v>
      </c>
      <c r="C37" s="254" t="s">
        <v>373</v>
      </c>
      <c r="D37" s="254">
        <v>506.88</v>
      </c>
      <c r="E37" s="414">
        <f t="shared" si="2"/>
        <v>0</v>
      </c>
      <c r="F37" s="415">
        <f t="shared" si="1"/>
        <v>0</v>
      </c>
      <c r="G37" s="416" t="s">
        <v>371</v>
      </c>
      <c r="H37" s="415">
        <f t="shared" si="0"/>
        <v>0</v>
      </c>
    </row>
    <row r="38" spans="1:8">
      <c r="A38" s="253" t="s">
        <v>38</v>
      </c>
      <c r="B38" s="410" t="s">
        <v>362</v>
      </c>
      <c r="C38" s="254" t="s">
        <v>373</v>
      </c>
      <c r="D38" s="254">
        <v>506.88</v>
      </c>
      <c r="E38" s="414">
        <f t="shared" si="2"/>
        <v>0</v>
      </c>
      <c r="F38" s="415">
        <f t="shared" si="1"/>
        <v>0</v>
      </c>
      <c r="G38" s="416" t="s">
        <v>371</v>
      </c>
      <c r="H38" s="415">
        <f t="shared" si="0"/>
        <v>0</v>
      </c>
    </row>
    <row r="39" spans="1:8">
      <c r="A39" s="253" t="s">
        <v>38</v>
      </c>
      <c r="B39" s="410" t="s">
        <v>361</v>
      </c>
      <c r="C39" s="254" t="s">
        <v>374</v>
      </c>
      <c r="D39" s="254">
        <v>348.1</v>
      </c>
      <c r="E39" s="414">
        <f t="shared" si="2"/>
        <v>0</v>
      </c>
      <c r="F39" s="415">
        <f t="shared" si="1"/>
        <v>0</v>
      </c>
      <c r="G39" s="416" t="s">
        <v>371</v>
      </c>
      <c r="H39" s="415">
        <f t="shared" si="0"/>
        <v>0</v>
      </c>
    </row>
    <row r="40" spans="1:8">
      <c r="A40" s="253" t="s">
        <v>38</v>
      </c>
      <c r="B40" s="410" t="s">
        <v>362</v>
      </c>
      <c r="C40" s="254" t="s">
        <v>374</v>
      </c>
      <c r="D40" s="254">
        <v>150.76</v>
      </c>
      <c r="E40" s="414">
        <f t="shared" si="2"/>
        <v>0</v>
      </c>
      <c r="F40" s="415">
        <f t="shared" si="1"/>
        <v>0</v>
      </c>
      <c r="G40" s="416" t="s">
        <v>371</v>
      </c>
      <c r="H40" s="415">
        <f t="shared" si="0"/>
        <v>0</v>
      </c>
    </row>
    <row r="41" spans="1:8">
      <c r="A41" s="253" t="s">
        <v>38</v>
      </c>
      <c r="B41" s="255" t="s">
        <v>363</v>
      </c>
      <c r="C41" s="254" t="s">
        <v>374</v>
      </c>
      <c r="D41" s="254">
        <v>438.69</v>
      </c>
      <c r="E41" s="414">
        <f t="shared" si="2"/>
        <v>0</v>
      </c>
      <c r="F41" s="415">
        <f t="shared" si="1"/>
        <v>0</v>
      </c>
      <c r="G41" s="416" t="s">
        <v>371</v>
      </c>
      <c r="H41" s="415">
        <f t="shared" si="0"/>
        <v>0</v>
      </c>
    </row>
    <row r="42" spans="1:8">
      <c r="A42" s="253" t="s">
        <v>38</v>
      </c>
      <c r="B42" s="410" t="s">
        <v>361</v>
      </c>
      <c r="C42" s="257" t="s">
        <v>225</v>
      </c>
      <c r="D42" s="254">
        <v>110.55</v>
      </c>
      <c r="E42" s="414">
        <f t="shared" si="2"/>
        <v>0</v>
      </c>
      <c r="F42" s="415">
        <f t="shared" si="1"/>
        <v>0</v>
      </c>
      <c r="G42" s="416" t="s">
        <v>371</v>
      </c>
      <c r="H42" s="415">
        <f t="shared" si="0"/>
        <v>0</v>
      </c>
    </row>
    <row r="43" spans="1:8">
      <c r="A43" s="253" t="s">
        <v>38</v>
      </c>
      <c r="B43" s="255" t="s">
        <v>375</v>
      </c>
      <c r="C43" s="255"/>
      <c r="D43" s="254">
        <v>0</v>
      </c>
      <c r="E43" s="417"/>
      <c r="F43" s="418">
        <v>0</v>
      </c>
      <c r="G43" s="416" t="s">
        <v>371</v>
      </c>
      <c r="H43" s="415">
        <f t="shared" si="0"/>
        <v>0</v>
      </c>
    </row>
    <row r="44" spans="1:8">
      <c r="B44" s="133"/>
      <c r="C44" s="133"/>
      <c r="E44" s="133"/>
      <c r="F44" s="133"/>
      <c r="G44" s="133"/>
      <c r="H44" s="133"/>
    </row>
    <row r="45" spans="1:8">
      <c r="A45" s="419" t="s">
        <v>39</v>
      </c>
      <c r="B45" s="420"/>
      <c r="C45" s="421"/>
      <c r="D45" s="422">
        <f>SUM(D13:D43)</f>
        <v>7390.9600000000009</v>
      </c>
      <c r="E45" s="420"/>
      <c r="F45" s="423"/>
      <c r="G45" s="421"/>
      <c r="H45" s="424">
        <f>SUM(H13:H43)</f>
        <v>0</v>
      </c>
    </row>
  </sheetData>
  <autoFilter ref="A12:Z45" xr:uid="{00000000-0009-0000-0000-00000A000000}"/>
  <phoneticPr fontId="111"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Z17"/>
  <sheetViews>
    <sheetView showGridLines="0" zoomScale="85" zoomScaleNormal="85" zoomScaleSheetLayoutView="50" zoomScalePageLayoutView="50" workbookViewId="0">
      <pane ySplit="12" topLeftCell="A13" activePane="bottomLeft" state="frozen"/>
      <selection activeCell="B1" sqref="B1"/>
      <selection pane="bottomLeft" activeCell="F5" sqref="F5"/>
    </sheetView>
  </sheetViews>
  <sheetFormatPr defaultColWidth="13.6640625" defaultRowHeight="13.2"/>
  <cols>
    <col min="1" max="1" width="46.109375" style="133" customWidth="1"/>
    <col min="2" max="2" width="36.33203125" style="134" bestFit="1" customWidth="1"/>
    <col min="3" max="3" width="27.5546875" style="134" customWidth="1"/>
    <col min="4" max="4" width="12.109375" style="133" customWidth="1"/>
    <col min="5" max="5" width="24.33203125" style="136" customWidth="1"/>
    <col min="6" max="6" width="16.109375" style="135" customWidth="1"/>
    <col min="7" max="7" width="13.6640625" style="136" customWidth="1"/>
    <col min="8" max="8" width="15.88671875" style="136" customWidth="1"/>
    <col min="9" max="247" width="13.6640625" style="133"/>
    <col min="248" max="248" width="22.109375" style="133" customWidth="1"/>
    <col min="249" max="255" width="13.6640625" style="133" customWidth="1"/>
    <col min="256" max="256" width="15.88671875" style="133" customWidth="1"/>
    <col min="257" max="257" width="16.5546875" style="133" bestFit="1" customWidth="1"/>
    <col min="258" max="258" width="13.6640625" style="133" customWidth="1"/>
    <col min="259" max="259" width="17.109375" style="133" bestFit="1" customWidth="1"/>
    <col min="260" max="260" width="4" style="133" customWidth="1"/>
    <col min="261" max="261" width="13.6640625" style="133" customWidth="1"/>
    <col min="262" max="503" width="13.6640625" style="133"/>
    <col min="504" max="504" width="22.109375" style="133" customWidth="1"/>
    <col min="505" max="511" width="13.6640625" style="133" customWidth="1"/>
    <col min="512" max="512" width="15.88671875" style="133" customWidth="1"/>
    <col min="513" max="513" width="16.5546875" style="133" bestFit="1" customWidth="1"/>
    <col min="514" max="514" width="13.6640625" style="133" customWidth="1"/>
    <col min="515" max="515" width="17.109375" style="133" bestFit="1" customWidth="1"/>
    <col min="516" max="516" width="4" style="133" customWidth="1"/>
    <col min="517" max="517" width="13.6640625" style="133" customWidth="1"/>
    <col min="518" max="759" width="13.6640625" style="133"/>
    <col min="760" max="760" width="22.109375" style="133" customWidth="1"/>
    <col min="761" max="767" width="13.6640625" style="133" customWidth="1"/>
    <col min="768" max="768" width="15.88671875" style="133" customWidth="1"/>
    <col min="769" max="769" width="16.5546875" style="133" bestFit="1" customWidth="1"/>
    <col min="770" max="770" width="13.6640625" style="133" customWidth="1"/>
    <col min="771" max="771" width="17.109375" style="133" bestFit="1" customWidth="1"/>
    <col min="772" max="772" width="4" style="133" customWidth="1"/>
    <col min="773" max="773" width="13.6640625" style="133" customWidth="1"/>
    <col min="774" max="1015" width="13.6640625" style="133"/>
    <col min="1016" max="1016" width="22.109375" style="133" customWidth="1"/>
    <col min="1017" max="1023" width="13.6640625" style="133" customWidth="1"/>
    <col min="1024" max="1024" width="15.88671875" style="133" customWidth="1"/>
    <col min="1025" max="1025" width="16.5546875" style="133" bestFit="1" customWidth="1"/>
    <col min="1026" max="1026" width="13.6640625" style="133" customWidth="1"/>
    <col min="1027" max="1027" width="17.109375" style="133" bestFit="1" customWidth="1"/>
    <col min="1028" max="1028" width="4" style="133" customWidth="1"/>
    <col min="1029" max="1029" width="13.6640625" style="133" customWidth="1"/>
    <col min="1030" max="1271" width="13.6640625" style="133"/>
    <col min="1272" max="1272" width="22.109375" style="133" customWidth="1"/>
    <col min="1273" max="1279" width="13.6640625" style="133" customWidth="1"/>
    <col min="1280" max="1280" width="15.88671875" style="133" customWidth="1"/>
    <col min="1281" max="1281" width="16.5546875" style="133" bestFit="1" customWidth="1"/>
    <col min="1282" max="1282" width="13.6640625" style="133" customWidth="1"/>
    <col min="1283" max="1283" width="17.109375" style="133" bestFit="1" customWidth="1"/>
    <col min="1284" max="1284" width="4" style="133" customWidth="1"/>
    <col min="1285" max="1285" width="13.6640625" style="133" customWidth="1"/>
    <col min="1286" max="1527" width="13.6640625" style="133"/>
    <col min="1528" max="1528" width="22.109375" style="133" customWidth="1"/>
    <col min="1529" max="1535" width="13.6640625" style="133" customWidth="1"/>
    <col min="1536" max="1536" width="15.88671875" style="133" customWidth="1"/>
    <col min="1537" max="1537" width="16.5546875" style="133" bestFit="1" customWidth="1"/>
    <col min="1538" max="1538" width="13.6640625" style="133" customWidth="1"/>
    <col min="1539" max="1539" width="17.109375" style="133" bestFit="1" customWidth="1"/>
    <col min="1540" max="1540" width="4" style="133" customWidth="1"/>
    <col min="1541" max="1541" width="13.6640625" style="133" customWidth="1"/>
    <col min="1542" max="1783" width="13.6640625" style="133"/>
    <col min="1784" max="1784" width="22.109375" style="133" customWidth="1"/>
    <col min="1785" max="1791" width="13.6640625" style="133" customWidth="1"/>
    <col min="1792" max="1792" width="15.88671875" style="133" customWidth="1"/>
    <col min="1793" max="1793" width="16.5546875" style="133" bestFit="1" customWidth="1"/>
    <col min="1794" max="1794" width="13.6640625" style="133" customWidth="1"/>
    <col min="1795" max="1795" width="17.109375" style="133" bestFit="1" customWidth="1"/>
    <col min="1796" max="1796" width="4" style="133" customWidth="1"/>
    <col min="1797" max="1797" width="13.6640625" style="133" customWidth="1"/>
    <col min="1798" max="2039" width="13.6640625" style="133"/>
    <col min="2040" max="2040" width="22.109375" style="133" customWidth="1"/>
    <col min="2041" max="2047" width="13.6640625" style="133" customWidth="1"/>
    <col min="2048" max="2048" width="15.88671875" style="133" customWidth="1"/>
    <col min="2049" max="2049" width="16.5546875" style="133" bestFit="1" customWidth="1"/>
    <col min="2050" max="2050" width="13.6640625" style="133" customWidth="1"/>
    <col min="2051" max="2051" width="17.109375" style="133" bestFit="1" customWidth="1"/>
    <col min="2052" max="2052" width="4" style="133" customWidth="1"/>
    <col min="2053" max="2053" width="13.6640625" style="133" customWidth="1"/>
    <col min="2054" max="2295" width="13.6640625" style="133"/>
    <col min="2296" max="2296" width="22.109375" style="133" customWidth="1"/>
    <col min="2297" max="2303" width="13.6640625" style="133" customWidth="1"/>
    <col min="2304" max="2304" width="15.88671875" style="133" customWidth="1"/>
    <col min="2305" max="2305" width="16.5546875" style="133" bestFit="1" customWidth="1"/>
    <col min="2306" max="2306" width="13.6640625" style="133" customWidth="1"/>
    <col min="2307" max="2307" width="17.109375" style="133" bestFit="1" customWidth="1"/>
    <col min="2308" max="2308" width="4" style="133" customWidth="1"/>
    <col min="2309" max="2309" width="13.6640625" style="133" customWidth="1"/>
    <col min="2310" max="2551" width="13.6640625" style="133"/>
    <col min="2552" max="2552" width="22.109375" style="133" customWidth="1"/>
    <col min="2553" max="2559" width="13.6640625" style="133" customWidth="1"/>
    <col min="2560" max="2560" width="15.88671875" style="133" customWidth="1"/>
    <col min="2561" max="2561" width="16.5546875" style="133" bestFit="1" customWidth="1"/>
    <col min="2562" max="2562" width="13.6640625" style="133" customWidth="1"/>
    <col min="2563" max="2563" width="17.109375" style="133" bestFit="1" customWidth="1"/>
    <col min="2564" max="2564" width="4" style="133" customWidth="1"/>
    <col min="2565" max="2565" width="13.6640625" style="133" customWidth="1"/>
    <col min="2566" max="2807" width="13.6640625" style="133"/>
    <col min="2808" max="2808" width="22.109375" style="133" customWidth="1"/>
    <col min="2809" max="2815" width="13.6640625" style="133" customWidth="1"/>
    <col min="2816" max="2816" width="15.88671875" style="133" customWidth="1"/>
    <col min="2817" max="2817" width="16.5546875" style="133" bestFit="1" customWidth="1"/>
    <col min="2818" max="2818" width="13.6640625" style="133" customWidth="1"/>
    <col min="2819" max="2819" width="17.109375" style="133" bestFit="1" customWidth="1"/>
    <col min="2820" max="2820" width="4" style="133" customWidth="1"/>
    <col min="2821" max="2821" width="13.6640625" style="133" customWidth="1"/>
    <col min="2822" max="3063" width="13.6640625" style="133"/>
    <col min="3064" max="3064" width="22.109375" style="133" customWidth="1"/>
    <col min="3065" max="3071" width="13.6640625" style="133" customWidth="1"/>
    <col min="3072" max="3072" width="15.88671875" style="133" customWidth="1"/>
    <col min="3073" max="3073" width="16.5546875" style="133" bestFit="1" customWidth="1"/>
    <col min="3074" max="3074" width="13.6640625" style="133" customWidth="1"/>
    <col min="3075" max="3075" width="17.109375" style="133" bestFit="1" customWidth="1"/>
    <col min="3076" max="3076" width="4" style="133" customWidth="1"/>
    <col min="3077" max="3077" width="13.6640625" style="133" customWidth="1"/>
    <col min="3078" max="3319" width="13.6640625" style="133"/>
    <col min="3320" max="3320" width="22.109375" style="133" customWidth="1"/>
    <col min="3321" max="3327" width="13.6640625" style="133" customWidth="1"/>
    <col min="3328" max="3328" width="15.88671875" style="133" customWidth="1"/>
    <col min="3329" max="3329" width="16.5546875" style="133" bestFit="1" customWidth="1"/>
    <col min="3330" max="3330" width="13.6640625" style="133" customWidth="1"/>
    <col min="3331" max="3331" width="17.109375" style="133" bestFit="1" customWidth="1"/>
    <col min="3332" max="3332" width="4" style="133" customWidth="1"/>
    <col min="3333" max="3333" width="13.6640625" style="133" customWidth="1"/>
    <col min="3334" max="3575" width="13.6640625" style="133"/>
    <col min="3576" max="3576" width="22.109375" style="133" customWidth="1"/>
    <col min="3577" max="3583" width="13.6640625" style="133" customWidth="1"/>
    <col min="3584" max="3584" width="15.88671875" style="133" customWidth="1"/>
    <col min="3585" max="3585" width="16.5546875" style="133" bestFit="1" customWidth="1"/>
    <col min="3586" max="3586" width="13.6640625" style="133" customWidth="1"/>
    <col min="3587" max="3587" width="17.109375" style="133" bestFit="1" customWidth="1"/>
    <col min="3588" max="3588" width="4" style="133" customWidth="1"/>
    <col min="3589" max="3589" width="13.6640625" style="133" customWidth="1"/>
    <col min="3590" max="3831" width="13.6640625" style="133"/>
    <col min="3832" max="3832" width="22.109375" style="133" customWidth="1"/>
    <col min="3833" max="3839" width="13.6640625" style="133" customWidth="1"/>
    <col min="3840" max="3840" width="15.88671875" style="133" customWidth="1"/>
    <col min="3841" max="3841" width="16.5546875" style="133" bestFit="1" customWidth="1"/>
    <col min="3842" max="3842" width="13.6640625" style="133" customWidth="1"/>
    <col min="3843" max="3843" width="17.109375" style="133" bestFit="1" customWidth="1"/>
    <col min="3844" max="3844" width="4" style="133" customWidth="1"/>
    <col min="3845" max="3845" width="13.6640625" style="133" customWidth="1"/>
    <col min="3846" max="4087" width="13.6640625" style="133"/>
    <col min="4088" max="4088" width="22.109375" style="133" customWidth="1"/>
    <col min="4089" max="4095" width="13.6640625" style="133" customWidth="1"/>
    <col min="4096" max="4096" width="15.88671875" style="133" customWidth="1"/>
    <col min="4097" max="4097" width="16.5546875" style="133" bestFit="1" customWidth="1"/>
    <col min="4098" max="4098" width="13.6640625" style="133" customWidth="1"/>
    <col min="4099" max="4099" width="17.109375" style="133" bestFit="1" customWidth="1"/>
    <col min="4100" max="4100" width="4" style="133" customWidth="1"/>
    <col min="4101" max="4101" width="13.6640625" style="133" customWidth="1"/>
    <col min="4102" max="4343" width="13.6640625" style="133"/>
    <col min="4344" max="4344" width="22.109375" style="133" customWidth="1"/>
    <col min="4345" max="4351" width="13.6640625" style="133" customWidth="1"/>
    <col min="4352" max="4352" width="15.88671875" style="133" customWidth="1"/>
    <col min="4353" max="4353" width="16.5546875" style="133" bestFit="1" customWidth="1"/>
    <col min="4354" max="4354" width="13.6640625" style="133" customWidth="1"/>
    <col min="4355" max="4355" width="17.109375" style="133" bestFit="1" customWidth="1"/>
    <col min="4356" max="4356" width="4" style="133" customWidth="1"/>
    <col min="4357" max="4357" width="13.6640625" style="133" customWidth="1"/>
    <col min="4358" max="4599" width="13.6640625" style="133"/>
    <col min="4600" max="4600" width="22.109375" style="133" customWidth="1"/>
    <col min="4601" max="4607" width="13.6640625" style="133" customWidth="1"/>
    <col min="4608" max="4608" width="15.88671875" style="133" customWidth="1"/>
    <col min="4609" max="4609" width="16.5546875" style="133" bestFit="1" customWidth="1"/>
    <col min="4610" max="4610" width="13.6640625" style="133" customWidth="1"/>
    <col min="4611" max="4611" width="17.109375" style="133" bestFit="1" customWidth="1"/>
    <col min="4612" max="4612" width="4" style="133" customWidth="1"/>
    <col min="4613" max="4613" width="13.6640625" style="133" customWidth="1"/>
    <col min="4614" max="4855" width="13.6640625" style="133"/>
    <col min="4856" max="4856" width="22.109375" style="133" customWidth="1"/>
    <col min="4857" max="4863" width="13.6640625" style="133" customWidth="1"/>
    <col min="4864" max="4864" width="15.88671875" style="133" customWidth="1"/>
    <col min="4865" max="4865" width="16.5546875" style="133" bestFit="1" customWidth="1"/>
    <col min="4866" max="4866" width="13.6640625" style="133" customWidth="1"/>
    <col min="4867" max="4867" width="17.109375" style="133" bestFit="1" customWidth="1"/>
    <col min="4868" max="4868" width="4" style="133" customWidth="1"/>
    <col min="4869" max="4869" width="13.6640625" style="133" customWidth="1"/>
    <col min="4870" max="5111" width="13.6640625" style="133"/>
    <col min="5112" max="5112" width="22.109375" style="133" customWidth="1"/>
    <col min="5113" max="5119" width="13.6640625" style="133" customWidth="1"/>
    <col min="5120" max="5120" width="15.88671875" style="133" customWidth="1"/>
    <col min="5121" max="5121" width="16.5546875" style="133" bestFit="1" customWidth="1"/>
    <col min="5122" max="5122" width="13.6640625" style="133" customWidth="1"/>
    <col min="5123" max="5123" width="17.109375" style="133" bestFit="1" customWidth="1"/>
    <col min="5124" max="5124" width="4" style="133" customWidth="1"/>
    <col min="5125" max="5125" width="13.6640625" style="133" customWidth="1"/>
    <col min="5126" max="5367" width="13.6640625" style="133"/>
    <col min="5368" max="5368" width="22.109375" style="133" customWidth="1"/>
    <col min="5369" max="5375" width="13.6640625" style="133" customWidth="1"/>
    <col min="5376" max="5376" width="15.88671875" style="133" customWidth="1"/>
    <col min="5377" max="5377" width="16.5546875" style="133" bestFit="1" customWidth="1"/>
    <col min="5378" max="5378" width="13.6640625" style="133" customWidth="1"/>
    <col min="5379" max="5379" width="17.109375" style="133" bestFit="1" customWidth="1"/>
    <col min="5380" max="5380" width="4" style="133" customWidth="1"/>
    <col min="5381" max="5381" width="13.6640625" style="133" customWidth="1"/>
    <col min="5382" max="5623" width="13.6640625" style="133"/>
    <col min="5624" max="5624" width="22.109375" style="133" customWidth="1"/>
    <col min="5625" max="5631" width="13.6640625" style="133" customWidth="1"/>
    <col min="5632" max="5632" width="15.88671875" style="133" customWidth="1"/>
    <col min="5633" max="5633" width="16.5546875" style="133" bestFit="1" customWidth="1"/>
    <col min="5634" max="5634" width="13.6640625" style="133" customWidth="1"/>
    <col min="5635" max="5635" width="17.109375" style="133" bestFit="1" customWidth="1"/>
    <col min="5636" max="5636" width="4" style="133" customWidth="1"/>
    <col min="5637" max="5637" width="13.6640625" style="133" customWidth="1"/>
    <col min="5638" max="5879" width="13.6640625" style="133"/>
    <col min="5880" max="5880" width="22.109375" style="133" customWidth="1"/>
    <col min="5881" max="5887" width="13.6640625" style="133" customWidth="1"/>
    <col min="5888" max="5888" width="15.88671875" style="133" customWidth="1"/>
    <col min="5889" max="5889" width="16.5546875" style="133" bestFit="1" customWidth="1"/>
    <col min="5890" max="5890" width="13.6640625" style="133" customWidth="1"/>
    <col min="5891" max="5891" width="17.109375" style="133" bestFit="1" customWidth="1"/>
    <col min="5892" max="5892" width="4" style="133" customWidth="1"/>
    <col min="5893" max="5893" width="13.6640625" style="133" customWidth="1"/>
    <col min="5894" max="6135" width="13.6640625" style="133"/>
    <col min="6136" max="6136" width="22.109375" style="133" customWidth="1"/>
    <col min="6137" max="6143" width="13.6640625" style="133" customWidth="1"/>
    <col min="6144" max="6144" width="15.88671875" style="133" customWidth="1"/>
    <col min="6145" max="6145" width="16.5546875" style="133" bestFit="1" customWidth="1"/>
    <col min="6146" max="6146" width="13.6640625" style="133" customWidth="1"/>
    <col min="6147" max="6147" width="17.109375" style="133" bestFit="1" customWidth="1"/>
    <col min="6148" max="6148" width="4" style="133" customWidth="1"/>
    <col min="6149" max="6149" width="13.6640625" style="133" customWidth="1"/>
    <col min="6150" max="6391" width="13.6640625" style="133"/>
    <col min="6392" max="6392" width="22.109375" style="133" customWidth="1"/>
    <col min="6393" max="6399" width="13.6640625" style="133" customWidth="1"/>
    <col min="6400" max="6400" width="15.88671875" style="133" customWidth="1"/>
    <col min="6401" max="6401" width="16.5546875" style="133" bestFit="1" customWidth="1"/>
    <col min="6402" max="6402" width="13.6640625" style="133" customWidth="1"/>
    <col min="6403" max="6403" width="17.109375" style="133" bestFit="1" customWidth="1"/>
    <col min="6404" max="6404" width="4" style="133" customWidth="1"/>
    <col min="6405" max="6405" width="13.6640625" style="133" customWidth="1"/>
    <col min="6406" max="6647" width="13.6640625" style="133"/>
    <col min="6648" max="6648" width="22.109375" style="133" customWidth="1"/>
    <col min="6649" max="6655" width="13.6640625" style="133" customWidth="1"/>
    <col min="6656" max="6656" width="15.88671875" style="133" customWidth="1"/>
    <col min="6657" max="6657" width="16.5546875" style="133" bestFit="1" customWidth="1"/>
    <col min="6658" max="6658" width="13.6640625" style="133" customWidth="1"/>
    <col min="6659" max="6659" width="17.109375" style="133" bestFit="1" customWidth="1"/>
    <col min="6660" max="6660" width="4" style="133" customWidth="1"/>
    <col min="6661" max="6661" width="13.6640625" style="133" customWidth="1"/>
    <col min="6662" max="6903" width="13.6640625" style="133"/>
    <col min="6904" max="6904" width="22.109375" style="133" customWidth="1"/>
    <col min="6905" max="6911" width="13.6640625" style="133" customWidth="1"/>
    <col min="6912" max="6912" width="15.88671875" style="133" customWidth="1"/>
    <col min="6913" max="6913" width="16.5546875" style="133" bestFit="1" customWidth="1"/>
    <col min="6914" max="6914" width="13.6640625" style="133" customWidth="1"/>
    <col min="6915" max="6915" width="17.109375" style="133" bestFit="1" customWidth="1"/>
    <col min="6916" max="6916" width="4" style="133" customWidth="1"/>
    <col min="6917" max="6917" width="13.6640625" style="133" customWidth="1"/>
    <col min="6918" max="7159" width="13.6640625" style="133"/>
    <col min="7160" max="7160" width="22.109375" style="133" customWidth="1"/>
    <col min="7161" max="7167" width="13.6640625" style="133" customWidth="1"/>
    <col min="7168" max="7168" width="15.88671875" style="133" customWidth="1"/>
    <col min="7169" max="7169" width="16.5546875" style="133" bestFit="1" customWidth="1"/>
    <col min="7170" max="7170" width="13.6640625" style="133" customWidth="1"/>
    <col min="7171" max="7171" width="17.109375" style="133" bestFit="1" customWidth="1"/>
    <col min="7172" max="7172" width="4" style="133" customWidth="1"/>
    <col min="7173" max="7173" width="13.6640625" style="133" customWidth="1"/>
    <col min="7174" max="7415" width="13.6640625" style="133"/>
    <col min="7416" max="7416" width="22.109375" style="133" customWidth="1"/>
    <col min="7417" max="7423" width="13.6640625" style="133" customWidth="1"/>
    <col min="7424" max="7424" width="15.88671875" style="133" customWidth="1"/>
    <col min="7425" max="7425" width="16.5546875" style="133" bestFit="1" customWidth="1"/>
    <col min="7426" max="7426" width="13.6640625" style="133" customWidth="1"/>
    <col min="7427" max="7427" width="17.109375" style="133" bestFit="1" customWidth="1"/>
    <col min="7428" max="7428" width="4" style="133" customWidth="1"/>
    <col min="7429" max="7429" width="13.6640625" style="133" customWidth="1"/>
    <col min="7430" max="7671" width="13.6640625" style="133"/>
    <col min="7672" max="7672" width="22.109375" style="133" customWidth="1"/>
    <col min="7673" max="7679" width="13.6640625" style="133" customWidth="1"/>
    <col min="7680" max="7680" width="15.88671875" style="133" customWidth="1"/>
    <col min="7681" max="7681" width="16.5546875" style="133" bestFit="1" customWidth="1"/>
    <col min="7682" max="7682" width="13.6640625" style="133" customWidth="1"/>
    <col min="7683" max="7683" width="17.109375" style="133" bestFit="1" customWidth="1"/>
    <col min="7684" max="7684" width="4" style="133" customWidth="1"/>
    <col min="7685" max="7685" width="13.6640625" style="133" customWidth="1"/>
    <col min="7686" max="7927" width="13.6640625" style="133"/>
    <col min="7928" max="7928" width="22.109375" style="133" customWidth="1"/>
    <col min="7929" max="7935" width="13.6640625" style="133" customWidth="1"/>
    <col min="7936" max="7936" width="15.88671875" style="133" customWidth="1"/>
    <col min="7937" max="7937" width="16.5546875" style="133" bestFit="1" customWidth="1"/>
    <col min="7938" max="7938" width="13.6640625" style="133" customWidth="1"/>
    <col min="7939" max="7939" width="17.109375" style="133" bestFit="1" customWidth="1"/>
    <col min="7940" max="7940" width="4" style="133" customWidth="1"/>
    <col min="7941" max="7941" width="13.6640625" style="133" customWidth="1"/>
    <col min="7942" max="8183" width="13.6640625" style="133"/>
    <col min="8184" max="8184" width="22.109375" style="133" customWidth="1"/>
    <col min="8185" max="8191" width="13.6640625" style="133" customWidth="1"/>
    <col min="8192" max="8192" width="15.88671875" style="133" customWidth="1"/>
    <col min="8193" max="8193" width="16.5546875" style="133" bestFit="1" customWidth="1"/>
    <col min="8194" max="8194" width="13.6640625" style="133" customWidth="1"/>
    <col min="8195" max="8195" width="17.109375" style="133" bestFit="1" customWidth="1"/>
    <col min="8196" max="8196" width="4" style="133" customWidth="1"/>
    <col min="8197" max="8197" width="13.6640625" style="133" customWidth="1"/>
    <col min="8198" max="8439" width="13.6640625" style="133"/>
    <col min="8440" max="8440" width="22.109375" style="133" customWidth="1"/>
    <col min="8441" max="8447" width="13.6640625" style="133" customWidth="1"/>
    <col min="8448" max="8448" width="15.88671875" style="133" customWidth="1"/>
    <col min="8449" max="8449" width="16.5546875" style="133" bestFit="1" customWidth="1"/>
    <col min="8450" max="8450" width="13.6640625" style="133" customWidth="1"/>
    <col min="8451" max="8451" width="17.109375" style="133" bestFit="1" customWidth="1"/>
    <col min="8452" max="8452" width="4" style="133" customWidth="1"/>
    <col min="8453" max="8453" width="13.6640625" style="133" customWidth="1"/>
    <col min="8454" max="8695" width="13.6640625" style="133"/>
    <col min="8696" max="8696" width="22.109375" style="133" customWidth="1"/>
    <col min="8697" max="8703" width="13.6640625" style="133" customWidth="1"/>
    <col min="8704" max="8704" width="15.88671875" style="133" customWidth="1"/>
    <col min="8705" max="8705" width="16.5546875" style="133" bestFit="1" customWidth="1"/>
    <col min="8706" max="8706" width="13.6640625" style="133" customWidth="1"/>
    <col min="8707" max="8707" width="17.109375" style="133" bestFit="1" customWidth="1"/>
    <col min="8708" max="8708" width="4" style="133" customWidth="1"/>
    <col min="8709" max="8709" width="13.6640625" style="133" customWidth="1"/>
    <col min="8710" max="8951" width="13.6640625" style="133"/>
    <col min="8952" max="8952" width="22.109375" style="133" customWidth="1"/>
    <col min="8953" max="8959" width="13.6640625" style="133" customWidth="1"/>
    <col min="8960" max="8960" width="15.88671875" style="133" customWidth="1"/>
    <col min="8961" max="8961" width="16.5546875" style="133" bestFit="1" customWidth="1"/>
    <col min="8962" max="8962" width="13.6640625" style="133" customWidth="1"/>
    <col min="8963" max="8963" width="17.109375" style="133" bestFit="1" customWidth="1"/>
    <col min="8964" max="8964" width="4" style="133" customWidth="1"/>
    <col min="8965" max="8965" width="13.6640625" style="133" customWidth="1"/>
    <col min="8966" max="9207" width="13.6640625" style="133"/>
    <col min="9208" max="9208" width="22.109375" style="133" customWidth="1"/>
    <col min="9209" max="9215" width="13.6640625" style="133" customWidth="1"/>
    <col min="9216" max="9216" width="15.88671875" style="133" customWidth="1"/>
    <col min="9217" max="9217" width="16.5546875" style="133" bestFit="1" customWidth="1"/>
    <col min="9218" max="9218" width="13.6640625" style="133" customWidth="1"/>
    <col min="9219" max="9219" width="17.109375" style="133" bestFit="1" customWidth="1"/>
    <col min="9220" max="9220" width="4" style="133" customWidth="1"/>
    <col min="9221" max="9221" width="13.6640625" style="133" customWidth="1"/>
    <col min="9222" max="9463" width="13.6640625" style="133"/>
    <col min="9464" max="9464" width="22.109375" style="133" customWidth="1"/>
    <col min="9465" max="9471" width="13.6640625" style="133" customWidth="1"/>
    <col min="9472" max="9472" width="15.88671875" style="133" customWidth="1"/>
    <col min="9473" max="9473" width="16.5546875" style="133" bestFit="1" customWidth="1"/>
    <col min="9474" max="9474" width="13.6640625" style="133" customWidth="1"/>
    <col min="9475" max="9475" width="17.109375" style="133" bestFit="1" customWidth="1"/>
    <col min="9476" max="9476" width="4" style="133" customWidth="1"/>
    <col min="9477" max="9477" width="13.6640625" style="133" customWidth="1"/>
    <col min="9478" max="9719" width="13.6640625" style="133"/>
    <col min="9720" max="9720" width="22.109375" style="133" customWidth="1"/>
    <col min="9721" max="9727" width="13.6640625" style="133" customWidth="1"/>
    <col min="9728" max="9728" width="15.88671875" style="133" customWidth="1"/>
    <col min="9729" max="9729" width="16.5546875" style="133" bestFit="1" customWidth="1"/>
    <col min="9730" max="9730" width="13.6640625" style="133" customWidth="1"/>
    <col min="9731" max="9731" width="17.109375" style="133" bestFit="1" customWidth="1"/>
    <col min="9732" max="9732" width="4" style="133" customWidth="1"/>
    <col min="9733" max="9733" width="13.6640625" style="133" customWidth="1"/>
    <col min="9734" max="9975" width="13.6640625" style="133"/>
    <col min="9976" max="9976" width="22.109375" style="133" customWidth="1"/>
    <col min="9977" max="9983" width="13.6640625" style="133" customWidth="1"/>
    <col min="9984" max="9984" width="15.88671875" style="133" customWidth="1"/>
    <col min="9985" max="9985" width="16.5546875" style="133" bestFit="1" customWidth="1"/>
    <col min="9986" max="9986" width="13.6640625" style="133" customWidth="1"/>
    <col min="9987" max="9987" width="17.109375" style="133" bestFit="1" customWidth="1"/>
    <col min="9988" max="9988" width="4" style="133" customWidth="1"/>
    <col min="9989" max="9989" width="13.6640625" style="133" customWidth="1"/>
    <col min="9990" max="10231" width="13.6640625" style="133"/>
    <col min="10232" max="10232" width="22.109375" style="133" customWidth="1"/>
    <col min="10233" max="10239" width="13.6640625" style="133" customWidth="1"/>
    <col min="10240" max="10240" width="15.88671875" style="133" customWidth="1"/>
    <col min="10241" max="10241" width="16.5546875" style="133" bestFit="1" customWidth="1"/>
    <col min="10242" max="10242" width="13.6640625" style="133" customWidth="1"/>
    <col min="10243" max="10243" width="17.109375" style="133" bestFit="1" customWidth="1"/>
    <col min="10244" max="10244" width="4" style="133" customWidth="1"/>
    <col min="10245" max="10245" width="13.6640625" style="133" customWidth="1"/>
    <col min="10246" max="10487" width="13.6640625" style="133"/>
    <col min="10488" max="10488" width="22.109375" style="133" customWidth="1"/>
    <col min="10489" max="10495" width="13.6640625" style="133" customWidth="1"/>
    <col min="10496" max="10496" width="15.88671875" style="133" customWidth="1"/>
    <col min="10497" max="10497" width="16.5546875" style="133" bestFit="1" customWidth="1"/>
    <col min="10498" max="10498" width="13.6640625" style="133" customWidth="1"/>
    <col min="10499" max="10499" width="17.109375" style="133" bestFit="1" customWidth="1"/>
    <col min="10500" max="10500" width="4" style="133" customWidth="1"/>
    <col min="10501" max="10501" width="13.6640625" style="133" customWidth="1"/>
    <col min="10502" max="10743" width="13.6640625" style="133"/>
    <col min="10744" max="10744" width="22.109375" style="133" customWidth="1"/>
    <col min="10745" max="10751" width="13.6640625" style="133" customWidth="1"/>
    <col min="10752" max="10752" width="15.88671875" style="133" customWidth="1"/>
    <col min="10753" max="10753" width="16.5546875" style="133" bestFit="1" customWidth="1"/>
    <col min="10754" max="10754" width="13.6640625" style="133" customWidth="1"/>
    <col min="10755" max="10755" width="17.109375" style="133" bestFit="1" customWidth="1"/>
    <col min="10756" max="10756" width="4" style="133" customWidth="1"/>
    <col min="10757" max="10757" width="13.6640625" style="133" customWidth="1"/>
    <col min="10758" max="10999" width="13.6640625" style="133"/>
    <col min="11000" max="11000" width="22.109375" style="133" customWidth="1"/>
    <col min="11001" max="11007" width="13.6640625" style="133" customWidth="1"/>
    <col min="11008" max="11008" width="15.88671875" style="133" customWidth="1"/>
    <col min="11009" max="11009" width="16.5546875" style="133" bestFit="1" customWidth="1"/>
    <col min="11010" max="11010" width="13.6640625" style="133" customWidth="1"/>
    <col min="11011" max="11011" width="17.109375" style="133" bestFit="1" customWidth="1"/>
    <col min="11012" max="11012" width="4" style="133" customWidth="1"/>
    <col min="11013" max="11013" width="13.6640625" style="133" customWidth="1"/>
    <col min="11014" max="11255" width="13.6640625" style="133"/>
    <col min="11256" max="11256" width="22.109375" style="133" customWidth="1"/>
    <col min="11257" max="11263" width="13.6640625" style="133" customWidth="1"/>
    <col min="11264" max="11264" width="15.88671875" style="133" customWidth="1"/>
    <col min="11265" max="11265" width="16.5546875" style="133" bestFit="1" customWidth="1"/>
    <col min="11266" max="11266" width="13.6640625" style="133" customWidth="1"/>
    <col min="11267" max="11267" width="17.109375" style="133" bestFit="1" customWidth="1"/>
    <col min="11268" max="11268" width="4" style="133" customWidth="1"/>
    <col min="11269" max="11269" width="13.6640625" style="133" customWidth="1"/>
    <col min="11270" max="11511" width="13.6640625" style="133"/>
    <col min="11512" max="11512" width="22.109375" style="133" customWidth="1"/>
    <col min="11513" max="11519" width="13.6640625" style="133" customWidth="1"/>
    <col min="11520" max="11520" width="15.88671875" style="133" customWidth="1"/>
    <col min="11521" max="11521" width="16.5546875" style="133" bestFit="1" customWidth="1"/>
    <col min="11522" max="11522" width="13.6640625" style="133" customWidth="1"/>
    <col min="11523" max="11523" width="17.109375" style="133" bestFit="1" customWidth="1"/>
    <col min="11524" max="11524" width="4" style="133" customWidth="1"/>
    <col min="11525" max="11525" width="13.6640625" style="133" customWidth="1"/>
    <col min="11526" max="11767" width="13.6640625" style="133"/>
    <col min="11768" max="11768" width="22.109375" style="133" customWidth="1"/>
    <col min="11769" max="11775" width="13.6640625" style="133" customWidth="1"/>
    <col min="11776" max="11776" width="15.88671875" style="133" customWidth="1"/>
    <col min="11777" max="11777" width="16.5546875" style="133" bestFit="1" customWidth="1"/>
    <col min="11778" max="11778" width="13.6640625" style="133" customWidth="1"/>
    <col min="11779" max="11779" width="17.109375" style="133" bestFit="1" customWidth="1"/>
    <col min="11780" max="11780" width="4" style="133" customWidth="1"/>
    <col min="11781" max="11781" width="13.6640625" style="133" customWidth="1"/>
    <col min="11782" max="12023" width="13.6640625" style="133"/>
    <col min="12024" max="12024" width="22.109375" style="133" customWidth="1"/>
    <col min="12025" max="12031" width="13.6640625" style="133" customWidth="1"/>
    <col min="12032" max="12032" width="15.88671875" style="133" customWidth="1"/>
    <col min="12033" max="12033" width="16.5546875" style="133" bestFit="1" customWidth="1"/>
    <col min="12034" max="12034" width="13.6640625" style="133" customWidth="1"/>
    <col min="12035" max="12035" width="17.109375" style="133" bestFit="1" customWidth="1"/>
    <col min="12036" max="12036" width="4" style="133" customWidth="1"/>
    <col min="12037" max="12037" width="13.6640625" style="133" customWidth="1"/>
    <col min="12038" max="12279" width="13.6640625" style="133"/>
    <col min="12280" max="12280" width="22.109375" style="133" customWidth="1"/>
    <col min="12281" max="12287" width="13.6640625" style="133" customWidth="1"/>
    <col min="12288" max="12288" width="15.88671875" style="133" customWidth="1"/>
    <col min="12289" max="12289" width="16.5546875" style="133" bestFit="1" customWidth="1"/>
    <col min="12290" max="12290" width="13.6640625" style="133" customWidth="1"/>
    <col min="12291" max="12291" width="17.109375" style="133" bestFit="1" customWidth="1"/>
    <col min="12292" max="12292" width="4" style="133" customWidth="1"/>
    <col min="12293" max="12293" width="13.6640625" style="133" customWidth="1"/>
    <col min="12294" max="12535" width="13.6640625" style="133"/>
    <col min="12536" max="12536" width="22.109375" style="133" customWidth="1"/>
    <col min="12537" max="12543" width="13.6640625" style="133" customWidth="1"/>
    <col min="12544" max="12544" width="15.88671875" style="133" customWidth="1"/>
    <col min="12545" max="12545" width="16.5546875" style="133" bestFit="1" customWidth="1"/>
    <col min="12546" max="12546" width="13.6640625" style="133" customWidth="1"/>
    <col min="12547" max="12547" width="17.109375" style="133" bestFit="1" customWidth="1"/>
    <col min="12548" max="12548" width="4" style="133" customWidth="1"/>
    <col min="12549" max="12549" width="13.6640625" style="133" customWidth="1"/>
    <col min="12550" max="12791" width="13.6640625" style="133"/>
    <col min="12792" max="12792" width="22.109375" style="133" customWidth="1"/>
    <col min="12793" max="12799" width="13.6640625" style="133" customWidth="1"/>
    <col min="12800" max="12800" width="15.88671875" style="133" customWidth="1"/>
    <col min="12801" max="12801" width="16.5546875" style="133" bestFit="1" customWidth="1"/>
    <col min="12802" max="12802" width="13.6640625" style="133" customWidth="1"/>
    <col min="12803" max="12803" width="17.109375" style="133" bestFit="1" customWidth="1"/>
    <col min="12804" max="12804" width="4" style="133" customWidth="1"/>
    <col min="12805" max="12805" width="13.6640625" style="133" customWidth="1"/>
    <col min="12806" max="13047" width="13.6640625" style="133"/>
    <col min="13048" max="13048" width="22.109375" style="133" customWidth="1"/>
    <col min="13049" max="13055" width="13.6640625" style="133" customWidth="1"/>
    <col min="13056" max="13056" width="15.88671875" style="133" customWidth="1"/>
    <col min="13057" max="13057" width="16.5546875" style="133" bestFit="1" customWidth="1"/>
    <col min="13058" max="13058" width="13.6640625" style="133" customWidth="1"/>
    <col min="13059" max="13059" width="17.109375" style="133" bestFit="1" customWidth="1"/>
    <col min="13060" max="13060" width="4" style="133" customWidth="1"/>
    <col min="13061" max="13061" width="13.6640625" style="133" customWidth="1"/>
    <col min="13062" max="13303" width="13.6640625" style="133"/>
    <col min="13304" max="13304" width="22.109375" style="133" customWidth="1"/>
    <col min="13305" max="13311" width="13.6640625" style="133" customWidth="1"/>
    <col min="13312" max="13312" width="15.88671875" style="133" customWidth="1"/>
    <col min="13313" max="13313" width="16.5546875" style="133" bestFit="1" customWidth="1"/>
    <col min="13314" max="13314" width="13.6640625" style="133" customWidth="1"/>
    <col min="13315" max="13315" width="17.109375" style="133" bestFit="1" customWidth="1"/>
    <col min="13316" max="13316" width="4" style="133" customWidth="1"/>
    <col min="13317" max="13317" width="13.6640625" style="133" customWidth="1"/>
    <col min="13318" max="13559" width="13.6640625" style="133"/>
    <col min="13560" max="13560" width="22.109375" style="133" customWidth="1"/>
    <col min="13561" max="13567" width="13.6640625" style="133" customWidth="1"/>
    <col min="13568" max="13568" width="15.88671875" style="133" customWidth="1"/>
    <col min="13569" max="13569" width="16.5546875" style="133" bestFit="1" customWidth="1"/>
    <col min="13570" max="13570" width="13.6640625" style="133" customWidth="1"/>
    <col min="13571" max="13571" width="17.109375" style="133" bestFit="1" customWidth="1"/>
    <col min="13572" max="13572" width="4" style="133" customWidth="1"/>
    <col min="13573" max="13573" width="13.6640625" style="133" customWidth="1"/>
    <col min="13574" max="13815" width="13.6640625" style="133"/>
    <col min="13816" max="13816" width="22.109375" style="133" customWidth="1"/>
    <col min="13817" max="13823" width="13.6640625" style="133" customWidth="1"/>
    <col min="13824" max="13824" width="15.88671875" style="133" customWidth="1"/>
    <col min="13825" max="13825" width="16.5546875" style="133" bestFit="1" customWidth="1"/>
    <col min="13826" max="13826" width="13.6640625" style="133" customWidth="1"/>
    <col min="13827" max="13827" width="17.109375" style="133" bestFit="1" customWidth="1"/>
    <col min="13828" max="13828" width="4" style="133" customWidth="1"/>
    <col min="13829" max="13829" width="13.6640625" style="133" customWidth="1"/>
    <col min="13830" max="14071" width="13.6640625" style="133"/>
    <col min="14072" max="14072" width="22.109375" style="133" customWidth="1"/>
    <col min="14073" max="14079" width="13.6640625" style="133" customWidth="1"/>
    <col min="14080" max="14080" width="15.88671875" style="133" customWidth="1"/>
    <col min="14081" max="14081" width="16.5546875" style="133" bestFit="1" customWidth="1"/>
    <col min="14082" max="14082" width="13.6640625" style="133" customWidth="1"/>
    <col min="14083" max="14083" width="17.109375" style="133" bestFit="1" customWidth="1"/>
    <col min="14084" max="14084" width="4" style="133" customWidth="1"/>
    <col min="14085" max="14085" width="13.6640625" style="133" customWidth="1"/>
    <col min="14086" max="14327" width="13.6640625" style="133"/>
    <col min="14328" max="14328" width="22.109375" style="133" customWidth="1"/>
    <col min="14329" max="14335" width="13.6640625" style="133" customWidth="1"/>
    <col min="14336" max="14336" width="15.88671875" style="133" customWidth="1"/>
    <col min="14337" max="14337" width="16.5546875" style="133" bestFit="1" customWidth="1"/>
    <col min="14338" max="14338" width="13.6640625" style="133" customWidth="1"/>
    <col min="14339" max="14339" width="17.109375" style="133" bestFit="1" customWidth="1"/>
    <col min="14340" max="14340" width="4" style="133" customWidth="1"/>
    <col min="14341" max="14341" width="13.6640625" style="133" customWidth="1"/>
    <col min="14342" max="14583" width="13.6640625" style="133"/>
    <col min="14584" max="14584" width="22.109375" style="133" customWidth="1"/>
    <col min="14585" max="14591" width="13.6640625" style="133" customWidth="1"/>
    <col min="14592" max="14592" width="15.88671875" style="133" customWidth="1"/>
    <col min="14593" max="14593" width="16.5546875" style="133" bestFit="1" customWidth="1"/>
    <col min="14594" max="14594" width="13.6640625" style="133" customWidth="1"/>
    <col min="14595" max="14595" width="17.109375" style="133" bestFit="1" customWidth="1"/>
    <col min="14596" max="14596" width="4" style="133" customWidth="1"/>
    <col min="14597" max="14597" width="13.6640625" style="133" customWidth="1"/>
    <col min="14598" max="14839" width="13.6640625" style="133"/>
    <col min="14840" max="14840" width="22.109375" style="133" customWidth="1"/>
    <col min="14841" max="14847" width="13.6640625" style="133" customWidth="1"/>
    <col min="14848" max="14848" width="15.88671875" style="133" customWidth="1"/>
    <col min="14849" max="14849" width="16.5546875" style="133" bestFit="1" customWidth="1"/>
    <col min="14850" max="14850" width="13.6640625" style="133" customWidth="1"/>
    <col min="14851" max="14851" width="17.109375" style="133" bestFit="1" customWidth="1"/>
    <col min="14852" max="14852" width="4" style="133" customWidth="1"/>
    <col min="14853" max="14853" width="13.6640625" style="133" customWidth="1"/>
    <col min="14854" max="15095" width="13.6640625" style="133"/>
    <col min="15096" max="15096" width="22.109375" style="133" customWidth="1"/>
    <col min="15097" max="15103" width="13.6640625" style="133" customWidth="1"/>
    <col min="15104" max="15104" width="15.88671875" style="133" customWidth="1"/>
    <col min="15105" max="15105" width="16.5546875" style="133" bestFit="1" customWidth="1"/>
    <col min="15106" max="15106" width="13.6640625" style="133" customWidth="1"/>
    <col min="15107" max="15107" width="17.109375" style="133" bestFit="1" customWidth="1"/>
    <col min="15108" max="15108" width="4" style="133" customWidth="1"/>
    <col min="15109" max="15109" width="13.6640625" style="133" customWidth="1"/>
    <col min="15110" max="15351" width="13.6640625" style="133"/>
    <col min="15352" max="15352" width="22.109375" style="133" customWidth="1"/>
    <col min="15353" max="15359" width="13.6640625" style="133" customWidth="1"/>
    <col min="15360" max="15360" width="15.88671875" style="133" customWidth="1"/>
    <col min="15361" max="15361" width="16.5546875" style="133" bestFit="1" customWidth="1"/>
    <col min="15362" max="15362" width="13.6640625" style="133" customWidth="1"/>
    <col min="15363" max="15363" width="17.109375" style="133" bestFit="1" customWidth="1"/>
    <col min="15364" max="15364" width="4" style="133" customWidth="1"/>
    <col min="15365" max="15365" width="13.6640625" style="133" customWidth="1"/>
    <col min="15366" max="15607" width="13.6640625" style="133"/>
    <col min="15608" max="15608" width="22.109375" style="133" customWidth="1"/>
    <col min="15609" max="15615" width="13.6640625" style="133" customWidth="1"/>
    <col min="15616" max="15616" width="15.88671875" style="133" customWidth="1"/>
    <col min="15617" max="15617" width="16.5546875" style="133" bestFit="1" customWidth="1"/>
    <col min="15618" max="15618" width="13.6640625" style="133" customWidth="1"/>
    <col min="15619" max="15619" width="17.109375" style="133" bestFit="1" customWidth="1"/>
    <col min="15620" max="15620" width="4" style="133" customWidth="1"/>
    <col min="15621" max="15621" width="13.6640625" style="133" customWidth="1"/>
    <col min="15622" max="15863" width="13.6640625" style="133"/>
    <col min="15864" max="15864" width="22.109375" style="133" customWidth="1"/>
    <col min="15865" max="15871" width="13.6640625" style="133" customWidth="1"/>
    <col min="15872" max="15872" width="15.88671875" style="133" customWidth="1"/>
    <col min="15873" max="15873" width="16.5546875" style="133" bestFit="1" customWidth="1"/>
    <col min="15874" max="15874" width="13.6640625" style="133" customWidth="1"/>
    <col min="15875" max="15875" width="17.109375" style="133" bestFit="1" customWidth="1"/>
    <col min="15876" max="15876" width="4" style="133" customWidth="1"/>
    <col min="15877" max="15877" width="13.6640625" style="133" customWidth="1"/>
    <col min="15878" max="16119" width="13.6640625" style="133"/>
    <col min="16120" max="16120" width="22.109375" style="133" customWidth="1"/>
    <col min="16121" max="16127" width="13.6640625" style="133" customWidth="1"/>
    <col min="16128" max="16128" width="15.88671875" style="133" customWidth="1"/>
    <col min="16129" max="16129" width="16.5546875" style="133" bestFit="1" customWidth="1"/>
    <col min="16130" max="16130" width="13.6640625" style="133" customWidth="1"/>
    <col min="16131" max="16131" width="17.109375" style="133" bestFit="1" customWidth="1"/>
    <col min="16132" max="16132" width="4" style="133" customWidth="1"/>
    <col min="16133" max="16133" width="13.6640625" style="133" customWidth="1"/>
    <col min="16134" max="16384" width="13.6640625" style="133"/>
  </cols>
  <sheetData>
    <row r="1" spans="1:26" s="124" customFormat="1">
      <c r="A1" s="303" t="s">
        <v>4</v>
      </c>
      <c r="B1" s="122"/>
      <c r="C1" s="122"/>
      <c r="D1" s="2"/>
      <c r="E1" s="2"/>
      <c r="F1" s="123"/>
      <c r="G1" s="2"/>
      <c r="H1" s="2"/>
    </row>
    <row r="2" spans="1:26" s="124" customFormat="1" ht="25.2">
      <c r="A2" s="125"/>
      <c r="B2" s="122"/>
      <c r="C2" s="122"/>
      <c r="E2" s="409" t="s">
        <v>376</v>
      </c>
      <c r="F2" s="409" t="s">
        <v>377</v>
      </c>
      <c r="H2" s="2"/>
    </row>
    <row r="3" spans="1:26" s="124" customFormat="1" ht="15">
      <c r="A3" s="216" t="str">
        <f>'2-Kosten per locatie'!A3</f>
        <v>Naam opdrachtgever</v>
      </c>
      <c r="B3" s="15" t="str">
        <f>'2-Kosten per locatie'!B3</f>
        <v>Basis calculatiemodel</v>
      </c>
      <c r="C3" s="15"/>
      <c r="E3" s="410" t="s">
        <v>378</v>
      </c>
      <c r="F3" s="411">
        <v>0</v>
      </c>
      <c r="H3" s="2"/>
    </row>
    <row r="4" spans="1:26" s="124" customFormat="1" ht="15">
      <c r="A4" s="216" t="str">
        <f>'2-Kosten per locatie'!A4</f>
        <v>Calculatie onderdeel</v>
      </c>
      <c r="B4" s="15" t="str">
        <f ca="1">MID(CELL("bestandsnaam",$C$9),SEARCH("]",CELL("bestandsnaam",$C$9),1)+1,256)</f>
        <v>11-Vloeronderhoud</v>
      </c>
      <c r="C4" s="15"/>
      <c r="E4" s="410" t="s">
        <v>387</v>
      </c>
      <c r="F4" s="411">
        <v>0</v>
      </c>
      <c r="H4" s="2"/>
    </row>
    <row r="5" spans="1:26" s="124" customFormat="1" ht="15">
      <c r="A5" s="216" t="str">
        <f>'2-Kosten per locatie'!A5</f>
        <v>Gebouw/plaats</v>
      </c>
      <c r="B5" s="15" t="str">
        <f>'2-Kosten per locatie'!B5</f>
        <v>Sliedrecht</v>
      </c>
      <c r="C5" s="15"/>
      <c r="E5" s="255" t="s">
        <v>379</v>
      </c>
      <c r="F5" s="411">
        <v>0</v>
      </c>
      <c r="H5" s="126"/>
      <c r="J5" s="127"/>
      <c r="K5" s="126"/>
      <c r="L5" s="127"/>
      <c r="M5" s="127"/>
      <c r="N5" s="126"/>
      <c r="O5" s="128"/>
      <c r="P5" s="127"/>
      <c r="Q5" s="126"/>
      <c r="R5" s="127"/>
      <c r="S5" s="127"/>
      <c r="T5" s="126"/>
      <c r="U5" s="127"/>
      <c r="V5" s="127"/>
      <c r="W5" s="126"/>
      <c r="X5" s="127"/>
      <c r="Y5" s="127"/>
      <c r="Z5" s="126"/>
    </row>
    <row r="6" spans="1:26" s="124" customFormat="1" ht="17.25" customHeight="1">
      <c r="A6" s="216" t="str">
        <f>'2-Kosten per locatie'!A6</f>
        <v>Referentie nummer</v>
      </c>
      <c r="B6" s="15" t="str">
        <f>'2-Kosten per locatie'!B6</f>
        <v>GS-EA-MVD-SW-2023</v>
      </c>
      <c r="C6" s="15"/>
      <c r="E6" s="410" t="s">
        <v>380</v>
      </c>
      <c r="F6" s="411">
        <v>0</v>
      </c>
      <c r="H6" s="126"/>
      <c r="J6" s="129"/>
      <c r="K6" s="130"/>
      <c r="L6" s="127"/>
      <c r="M6" s="129"/>
      <c r="N6" s="130"/>
      <c r="O6" s="128"/>
      <c r="P6" s="129"/>
      <c r="Q6" s="130"/>
      <c r="R6" s="127"/>
      <c r="S6" s="129"/>
      <c r="T6" s="130"/>
      <c r="U6" s="127"/>
      <c r="V6" s="129"/>
      <c r="W6" s="130"/>
      <c r="X6" s="127"/>
      <c r="Y6" s="129"/>
      <c r="Z6" s="130"/>
    </row>
    <row r="7" spans="1:26" s="124" customFormat="1" ht="17.25" customHeight="1">
      <c r="A7" s="216" t="str">
        <f>'2-Kosten per locatie'!A7</f>
        <v>Naam dienstverlener</v>
      </c>
      <c r="B7" s="15" t="str">
        <f>'2-Kosten per locatie'!B7</f>
        <v>Gemeente Sliedrecht</v>
      </c>
      <c r="C7" s="103"/>
      <c r="E7" s="410" t="s">
        <v>381</v>
      </c>
      <c r="F7" s="411">
        <v>0</v>
      </c>
      <c r="H7" s="126"/>
    </row>
    <row r="8" spans="1:26" s="124" customFormat="1" ht="17.25" customHeight="1">
      <c r="A8" s="216" t="str">
        <f>'2-Kosten per locatie'!A8</f>
        <v>Prijspeil</v>
      </c>
      <c r="B8" s="241">
        <f>'2-Kosten per locatie'!B8</f>
        <v>45474</v>
      </c>
      <c r="C8" s="25"/>
      <c r="E8" s="410" t="s">
        <v>389</v>
      </c>
      <c r="F8" s="411">
        <v>0</v>
      </c>
      <c r="H8" s="126"/>
    </row>
    <row r="9" spans="1:26" s="124" customFormat="1" ht="17.25" customHeight="1">
      <c r="E9" s="410" t="s">
        <v>364</v>
      </c>
      <c r="F9" s="411">
        <v>0</v>
      </c>
      <c r="H9" s="126"/>
    </row>
    <row r="10" spans="1:26" s="124" customFormat="1" ht="17.25" customHeight="1">
      <c r="E10" s="410" t="s">
        <v>364</v>
      </c>
      <c r="F10" s="411">
        <v>0</v>
      </c>
      <c r="H10" s="126"/>
    </row>
    <row r="11" spans="1:26" s="124" customFormat="1" ht="15">
      <c r="A11" s="131"/>
      <c r="D11" s="127"/>
      <c r="F11" s="132"/>
      <c r="G11" s="127"/>
      <c r="H11" s="126"/>
    </row>
    <row r="12" spans="1:26" s="146" customFormat="1" ht="43.5" customHeight="1">
      <c r="A12" s="412" t="s">
        <v>23</v>
      </c>
      <c r="B12" s="413" t="s">
        <v>382</v>
      </c>
      <c r="C12" s="413" t="s">
        <v>376</v>
      </c>
      <c r="D12" s="409" t="s">
        <v>366</v>
      </c>
      <c r="E12" s="413" t="s">
        <v>367</v>
      </c>
      <c r="F12" s="413" t="s">
        <v>368</v>
      </c>
      <c r="G12" s="413" t="s">
        <v>369</v>
      </c>
      <c r="H12" s="413" t="s">
        <v>370</v>
      </c>
    </row>
    <row r="13" spans="1:26">
      <c r="A13" s="253" t="s">
        <v>31</v>
      </c>
      <c r="B13" s="410" t="s">
        <v>383</v>
      </c>
      <c r="C13" s="410" t="s">
        <v>387</v>
      </c>
      <c r="D13" s="431">
        <v>232.81</v>
      </c>
      <c r="E13" s="414">
        <f t="shared" ref="E13" si="0">VLOOKUP(C13,$E$3:$F$10,2,FALSE)</f>
        <v>0</v>
      </c>
      <c r="F13" s="415">
        <f t="shared" ref="F13" si="1">(D13*E13)</f>
        <v>0</v>
      </c>
      <c r="G13" s="416" t="s">
        <v>384</v>
      </c>
      <c r="H13" s="415">
        <f t="shared" ref="H13" si="2">G13*F13</f>
        <v>0</v>
      </c>
    </row>
    <row r="14" spans="1:26">
      <c r="A14" s="249" t="s">
        <v>35</v>
      </c>
      <c r="B14" s="410" t="s">
        <v>383</v>
      </c>
      <c r="C14" s="410" t="s">
        <v>387</v>
      </c>
      <c r="D14" s="431">
        <v>402.65</v>
      </c>
      <c r="E14" s="414">
        <f t="shared" ref="E14" si="3">VLOOKUP(C14,$E$3:$F$10,2,FALSE)</f>
        <v>0</v>
      </c>
      <c r="F14" s="415">
        <f t="shared" ref="F14" si="4">(D14*E14)</f>
        <v>0</v>
      </c>
      <c r="G14" s="416" t="s">
        <v>384</v>
      </c>
      <c r="H14" s="415">
        <f t="shared" ref="H14" si="5">G14*F14</f>
        <v>0</v>
      </c>
    </row>
    <row r="15" spans="1:26">
      <c r="A15" s="249" t="s">
        <v>394</v>
      </c>
      <c r="B15" s="255" t="s">
        <v>388</v>
      </c>
      <c r="C15" s="410" t="s">
        <v>389</v>
      </c>
      <c r="D15" s="431">
        <v>252.2</v>
      </c>
      <c r="E15" s="414">
        <f t="shared" ref="E15" si="6">VLOOKUP(C15,$E$3:$F$10,2,FALSE)</f>
        <v>0</v>
      </c>
      <c r="F15" s="415">
        <f t="shared" ref="F15" si="7">(D15*E15)</f>
        <v>0</v>
      </c>
      <c r="G15" s="416" t="s">
        <v>384</v>
      </c>
      <c r="H15" s="415">
        <f t="shared" ref="H15" si="8">G15*F15</f>
        <v>0</v>
      </c>
    </row>
    <row r="16" spans="1:26">
      <c r="B16" s="133"/>
      <c r="C16" s="133"/>
      <c r="E16" s="133"/>
      <c r="F16" s="133"/>
      <c r="G16" s="133"/>
      <c r="H16" s="133"/>
    </row>
    <row r="17" spans="1:8">
      <c r="A17" s="419" t="s">
        <v>39</v>
      </c>
      <c r="B17" s="420"/>
      <c r="C17" s="421"/>
      <c r="D17" s="432">
        <f>SUM(D13:D15)</f>
        <v>887.66000000000008</v>
      </c>
      <c r="E17" s="420"/>
      <c r="F17" s="423"/>
      <c r="G17" s="421"/>
      <c r="H17" s="424">
        <f>SUM(H13:H15)</f>
        <v>0</v>
      </c>
    </row>
  </sheetData>
  <autoFilter ref="A12:Z17" xr:uid="{00000000-0009-0000-0000-00000A000000}"/>
  <phoneticPr fontId="111" type="noConversion"/>
  <dataValidations count="1">
    <dataValidation type="list" allowBlank="1" showInputMessage="1" showErrorMessage="1" sqref="C13:C15" xr:uid="{C736CBFC-1565-48E2-8F22-639725E5CCC0}">
      <formula1>$E$3:$E$10</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H41"/>
  <sheetViews>
    <sheetView showGridLines="0" showZeros="0" topLeftCell="A11" zoomScale="70" zoomScaleNormal="70" workbookViewId="0">
      <selection activeCell="J18" sqref="J18"/>
    </sheetView>
  </sheetViews>
  <sheetFormatPr defaultColWidth="8.6640625" defaultRowHeight="14.1" customHeight="1"/>
  <cols>
    <col min="1" max="1" width="34.6640625" style="16" customWidth="1"/>
    <col min="2" max="3" width="16" style="16" customWidth="1"/>
    <col min="4" max="4" width="13.6640625" style="21" customWidth="1"/>
    <col min="5" max="5" width="27.88671875" style="21" bestFit="1" customWidth="1"/>
    <col min="6" max="6" width="29.21875" style="21" customWidth="1"/>
    <col min="7" max="7" width="24.6640625" style="21" bestFit="1" customWidth="1"/>
    <col min="8" max="8" width="14.6640625" style="21" customWidth="1"/>
    <col min="9" max="9" width="14.33203125" style="21" bestFit="1" customWidth="1"/>
    <col min="10" max="15" width="13.6640625" style="21" customWidth="1"/>
    <col min="16" max="16" width="17.33203125" style="21" customWidth="1"/>
    <col min="17" max="17" width="13.6640625" style="21" customWidth="1"/>
    <col min="18" max="19" width="15.5546875" style="21" customWidth="1"/>
    <col min="20" max="20" width="15.109375" style="21" customWidth="1"/>
    <col min="21" max="23" width="13.6640625" style="21" customWidth="1"/>
    <col min="24" max="28" width="13.33203125" style="21" customWidth="1"/>
    <col min="29" max="29" width="14.6640625" style="21" customWidth="1"/>
    <col min="30" max="33" width="13.33203125" style="21" customWidth="1"/>
    <col min="34" max="16384" width="8.6640625" style="16"/>
  </cols>
  <sheetData>
    <row r="1" spans="1:34" ht="14.1" customHeight="1">
      <c r="A1" s="258" t="s">
        <v>4</v>
      </c>
      <c r="E1" s="186" t="s">
        <v>5</v>
      </c>
      <c r="F1" s="187"/>
      <c r="G1" s="17"/>
      <c r="J1" s="225" t="s">
        <v>6</v>
      </c>
      <c r="K1" s="180"/>
      <c r="L1" s="180"/>
      <c r="M1" s="180"/>
      <c r="N1" s="180"/>
      <c r="O1" s="181"/>
      <c r="P1" s="231" t="e">
        <f>I40</f>
        <v>#DIV/0!</v>
      </c>
    </row>
    <row r="2" spans="1:34" ht="14.1" customHeight="1">
      <c r="E2" s="188">
        <v>1</v>
      </c>
      <c r="F2" s="189" t="s">
        <v>7</v>
      </c>
      <c r="G2" s="17"/>
      <c r="J2" s="226" t="s">
        <v>8</v>
      </c>
      <c r="K2" s="227"/>
      <c r="L2" s="227"/>
      <c r="M2" s="227"/>
      <c r="N2" s="227"/>
      <c r="O2" s="228">
        <v>0.21</v>
      </c>
      <c r="P2" s="229" t="e">
        <f>O2*P1</f>
        <v>#DIV/0!</v>
      </c>
    </row>
    <row r="3" spans="1:34" ht="14.1" customHeight="1">
      <c r="A3" s="24" t="s">
        <v>0</v>
      </c>
      <c r="B3" s="210" t="s">
        <v>9</v>
      </c>
      <c r="C3" s="202"/>
      <c r="D3" s="17"/>
      <c r="E3" s="17"/>
      <c r="G3" s="17"/>
      <c r="H3" s="17"/>
      <c r="I3" s="17"/>
      <c r="J3" s="226" t="s">
        <v>10</v>
      </c>
      <c r="K3" s="227"/>
      <c r="L3" s="227"/>
      <c r="M3" s="227"/>
      <c r="N3" s="227"/>
      <c r="O3" s="227"/>
      <c r="P3" s="230" t="e">
        <f>P1+P2</f>
        <v>#DIV/0!</v>
      </c>
      <c r="AF3" s="17"/>
      <c r="AG3" s="17"/>
    </row>
    <row r="4" spans="1:34" ht="14.1" customHeight="1">
      <c r="A4" s="24" t="s">
        <v>1</v>
      </c>
      <c r="B4" s="33" t="str">
        <f ca="1">MID(CELL("bestandsnaam",$B$13),SEARCH("]",CELL("bestandsnaam",$B$13),1)+1,256)</f>
        <v>2-Kosten per locatie</v>
      </c>
      <c r="C4" s="33"/>
      <c r="D4" s="17"/>
      <c r="E4" s="186" t="s">
        <v>11</v>
      </c>
      <c r="F4" s="187"/>
      <c r="G4" s="17"/>
      <c r="H4" s="17"/>
      <c r="I4" s="17"/>
      <c r="J4" s="227"/>
      <c r="K4" s="227"/>
      <c r="L4" s="227"/>
      <c r="M4" s="227"/>
      <c r="N4" s="227"/>
      <c r="O4" s="227"/>
      <c r="P4" s="227"/>
      <c r="AF4" s="17"/>
      <c r="AG4" s="17"/>
    </row>
    <row r="5" spans="1:34" ht="14.1" customHeight="1">
      <c r="A5" s="24" t="s">
        <v>2</v>
      </c>
      <c r="B5" s="210" t="s">
        <v>12</v>
      </c>
      <c r="C5" s="202"/>
      <c r="D5" s="17"/>
      <c r="E5" s="199"/>
      <c r="F5" s="189" t="s">
        <v>13</v>
      </c>
      <c r="G5" s="17"/>
      <c r="H5" s="17"/>
      <c r="I5" s="17"/>
      <c r="J5" s="183" t="s">
        <v>14</v>
      </c>
      <c r="K5" s="184"/>
      <c r="L5" s="184"/>
      <c r="M5" s="184"/>
      <c r="N5" s="184"/>
      <c r="O5" s="184"/>
      <c r="P5" s="185">
        <v>158000</v>
      </c>
      <c r="AF5" s="17"/>
      <c r="AG5" s="17"/>
    </row>
    <row r="6" spans="1:34" ht="14.1" customHeight="1">
      <c r="A6" s="24" t="s">
        <v>3</v>
      </c>
      <c r="B6" s="210" t="s">
        <v>392</v>
      </c>
      <c r="C6" s="202"/>
      <c r="D6" s="17"/>
      <c r="E6" s="17"/>
      <c r="F6" s="17"/>
      <c r="G6" s="17"/>
      <c r="H6" s="17"/>
      <c r="I6" s="17"/>
      <c r="J6" s="183" t="s">
        <v>15</v>
      </c>
      <c r="K6" s="184"/>
      <c r="L6" s="184"/>
      <c r="M6" s="184"/>
      <c r="N6" s="184"/>
      <c r="O6" s="184"/>
      <c r="P6" s="185">
        <f>P5*0.9</f>
        <v>142200</v>
      </c>
      <c r="AF6" s="17"/>
      <c r="AG6" s="17"/>
    </row>
    <row r="7" spans="1:34" ht="14.1" customHeight="1">
      <c r="A7" s="24" t="s">
        <v>16</v>
      </c>
      <c r="B7" s="210" t="s">
        <v>17</v>
      </c>
      <c r="C7" s="202"/>
      <c r="D7" s="17"/>
      <c r="E7" s="17"/>
      <c r="F7" s="17"/>
      <c r="G7" s="17"/>
      <c r="H7" s="17"/>
      <c r="I7" s="17"/>
      <c r="J7" s="17"/>
      <c r="K7" s="17"/>
      <c r="V7" s="17"/>
      <c r="W7" s="16"/>
      <c r="X7" s="16"/>
      <c r="Y7" s="16"/>
      <c r="AF7" s="17"/>
      <c r="AG7" s="17"/>
    </row>
    <row r="8" spans="1:34" ht="14.1" customHeight="1">
      <c r="A8" s="24" t="s">
        <v>18</v>
      </c>
      <c r="B8" s="25">
        <v>45474</v>
      </c>
      <c r="C8" s="24"/>
      <c r="D8" s="17"/>
      <c r="E8" s="17"/>
      <c r="F8" s="17"/>
      <c r="G8" s="17"/>
      <c r="H8" s="17"/>
      <c r="I8" s="17"/>
      <c r="J8" s="17"/>
      <c r="K8" s="17"/>
      <c r="L8" s="17"/>
      <c r="M8" s="17"/>
      <c r="N8" s="17"/>
      <c r="O8" s="17"/>
      <c r="P8" s="17"/>
      <c r="Q8" s="17"/>
      <c r="R8" s="17"/>
      <c r="S8" s="17"/>
      <c r="T8" s="17"/>
      <c r="U8" s="17"/>
      <c r="V8" s="17"/>
      <c r="W8" s="17"/>
      <c r="X8" s="17"/>
      <c r="Y8" s="17"/>
      <c r="Z8" s="17"/>
      <c r="AA8" s="182"/>
      <c r="AB8" s="182"/>
      <c r="AC8" s="182"/>
      <c r="AD8" s="182"/>
      <c r="AE8" s="182"/>
      <c r="AF8" s="17"/>
      <c r="AG8" s="17"/>
    </row>
    <row r="9" spans="1:34" ht="14.1" customHeight="1">
      <c r="A9" s="24" t="s">
        <v>19</v>
      </c>
      <c r="B9" s="245" t="s">
        <v>439</v>
      </c>
      <c r="C9" s="24"/>
      <c r="D9" s="17"/>
      <c r="E9" s="17"/>
      <c r="F9" s="17"/>
      <c r="G9" s="17"/>
      <c r="H9" s="17"/>
      <c r="I9" s="17"/>
      <c r="J9" s="239"/>
      <c r="L9" s="17"/>
      <c r="M9" s="17"/>
      <c r="P9" s="17"/>
      <c r="Q9" s="17"/>
      <c r="V9" s="17"/>
      <c r="W9" s="16"/>
      <c r="X9" s="16"/>
      <c r="Y9" s="16"/>
      <c r="Z9" s="16"/>
      <c r="AA9" s="16"/>
      <c r="AB9" s="16"/>
      <c r="AC9" s="16"/>
      <c r="AD9" s="16"/>
      <c r="AE9" s="16"/>
      <c r="AF9" s="17"/>
      <c r="AG9" s="17"/>
    </row>
    <row r="10" spans="1:34" ht="14.1" customHeight="1">
      <c r="A10" s="24"/>
      <c r="B10" s="24"/>
      <c r="C10" s="24"/>
      <c r="D10" s="17"/>
      <c r="E10" s="17"/>
      <c r="F10" s="17"/>
      <c r="G10" s="17"/>
      <c r="H10" s="17"/>
      <c r="I10" s="17"/>
      <c r="J10" s="239"/>
      <c r="K10" s="17"/>
      <c r="L10" s="17"/>
      <c r="M10" s="17"/>
      <c r="N10" s="17"/>
      <c r="O10" s="17"/>
      <c r="P10" s="17"/>
      <c r="Q10" s="17"/>
      <c r="R10" s="17"/>
      <c r="S10" s="17"/>
      <c r="T10" s="17"/>
      <c r="U10" s="17"/>
      <c r="V10" s="17"/>
      <c r="W10" s="17"/>
      <c r="X10" s="17"/>
      <c r="Y10" s="17"/>
      <c r="Z10" s="17"/>
      <c r="AA10" s="17"/>
      <c r="AB10" s="17"/>
      <c r="AC10" s="17"/>
      <c r="AD10" s="17"/>
      <c r="AE10" s="17"/>
      <c r="AF10" s="17"/>
      <c r="AG10" s="17"/>
    </row>
    <row r="11" spans="1:34" ht="14.1" customHeight="1">
      <c r="A11" s="24"/>
      <c r="B11" s="24"/>
      <c r="C11" s="24"/>
      <c r="D11" s="17"/>
      <c r="E11" s="17"/>
      <c r="F11" s="17"/>
      <c r="G11" s="17"/>
      <c r="H11" s="17"/>
      <c r="I11" s="17"/>
      <c r="J11" s="239"/>
      <c r="K11" s="17"/>
      <c r="L11" s="17"/>
      <c r="M11" s="17"/>
      <c r="N11" s="17"/>
      <c r="O11" s="17"/>
      <c r="P11" s="17"/>
      <c r="Q11" s="17"/>
      <c r="R11" s="17"/>
      <c r="S11" s="17"/>
      <c r="T11" s="17"/>
      <c r="U11" s="17"/>
      <c r="V11" s="17"/>
      <c r="W11" s="17"/>
      <c r="X11" s="17"/>
      <c r="Y11" s="17"/>
      <c r="Z11" s="17"/>
      <c r="AA11" s="17"/>
      <c r="AB11" s="17"/>
      <c r="AC11" s="17"/>
      <c r="AD11" s="17"/>
      <c r="AE11" s="17"/>
      <c r="AF11" s="17"/>
      <c r="AG11" s="17"/>
    </row>
    <row r="12" spans="1:34" ht="14.1" customHeight="1">
      <c r="C12" s="25"/>
      <c r="J12" s="244"/>
      <c r="AA12" s="17"/>
      <c r="AB12" s="17"/>
      <c r="AC12" s="17"/>
      <c r="AD12" s="17"/>
      <c r="AE12" s="17"/>
      <c r="AF12" s="17"/>
      <c r="AG12" s="17"/>
    </row>
    <row r="13" spans="1:34" s="442" customFormat="1" ht="14.1" customHeight="1">
      <c r="A13" s="437"/>
      <c r="B13" s="437"/>
      <c r="C13" s="437"/>
      <c r="D13" s="438"/>
      <c r="E13" s="439" t="s">
        <v>20</v>
      </c>
      <c r="F13" s="439" t="s">
        <v>21</v>
      </c>
      <c r="G13" s="439" t="s">
        <v>22</v>
      </c>
      <c r="H13" s="443"/>
      <c r="I13" s="440"/>
      <c r="J13" s="440"/>
      <c r="K13" s="440"/>
      <c r="L13" s="440"/>
      <c r="M13" s="438"/>
      <c r="N13" s="438"/>
      <c r="O13" s="438"/>
      <c r="P13" s="438"/>
      <c r="Q13" s="438"/>
      <c r="R13" s="438"/>
      <c r="S13" s="438"/>
      <c r="T13" s="438"/>
      <c r="U13" s="438"/>
      <c r="AB13" s="441"/>
      <c r="AC13" s="441"/>
      <c r="AD13" s="441"/>
      <c r="AE13" s="441"/>
      <c r="AF13" s="441"/>
      <c r="AG13" s="441"/>
      <c r="AH13" s="441"/>
    </row>
    <row r="14" spans="1:34" ht="64.5" customHeight="1">
      <c r="A14" s="259" t="s">
        <v>23</v>
      </c>
      <c r="B14" s="167" t="s">
        <v>24</v>
      </c>
      <c r="C14" s="167" t="s">
        <v>25</v>
      </c>
      <c r="D14" s="213" t="s">
        <v>26</v>
      </c>
      <c r="E14" s="211" t="s">
        <v>27</v>
      </c>
      <c r="F14" s="211" t="s">
        <v>28</v>
      </c>
      <c r="G14" s="436" t="s">
        <v>29</v>
      </c>
      <c r="H14" s="17"/>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4" s="19" customFormat="1" ht="15" customHeight="1">
      <c r="A15" s="249" t="s">
        <v>394</v>
      </c>
      <c r="B15" s="260">
        <f>SUMIF('4-Basis ruimtestaat'!B:B,'2-Kosten per locatie'!A15,'4-Basis ruimtestaat'!I:I)</f>
        <v>416.59999999999997</v>
      </c>
      <c r="C15" s="190"/>
      <c r="D15" s="435">
        <f>_xlfn.MAXIFS('4-Basis ruimtestaat'!K:K,'4-Basis ruimtestaat'!B:B,'2-Kosten per locatie'!A15)</f>
        <v>200</v>
      </c>
      <c r="E15" s="215" t="e">
        <f>SUMIF('4-Basis ruimtestaat'!B:B,'2-Kosten per locatie'!A15,'4-Basis ruimtestaat'!L:L)</f>
        <v>#DIV/0!</v>
      </c>
      <c r="F15" s="215" t="e">
        <f t="shared" ref="F15:F25" si="0">IF(E15&lt;(D15*$E$2),D15*$E$2-E15,0)</f>
        <v>#DIV/0!</v>
      </c>
      <c r="G15" s="215" t="e">
        <f t="shared" ref="G15:G25" si="1">E15*$E$5</f>
        <v>#DIV/0!</v>
      </c>
      <c r="H15" s="17"/>
    </row>
    <row r="16" spans="1:34" ht="15" customHeight="1">
      <c r="A16" s="249" t="s">
        <v>30</v>
      </c>
      <c r="B16" s="260">
        <f>SUMIF('4-Basis ruimtestaat'!B:B,'2-Kosten per locatie'!A16,'4-Basis ruimtestaat'!I:I)</f>
        <v>223.29999999999998</v>
      </c>
      <c r="C16" s="190"/>
      <c r="D16" s="214">
        <f>_xlfn.MAXIFS('4-Basis ruimtestaat'!K:K,'4-Basis ruimtestaat'!B:B,'2-Kosten per locatie'!A16)</f>
        <v>255</v>
      </c>
      <c r="E16" s="215" t="e">
        <f>SUMIF('4-Basis ruimtestaat'!B:B,'2-Kosten per locatie'!A16,'4-Basis ruimtestaat'!L:L)</f>
        <v>#DIV/0!</v>
      </c>
      <c r="F16" s="430" t="e">
        <f t="shared" si="0"/>
        <v>#DIV/0!</v>
      </c>
      <c r="G16" s="215" t="e">
        <f t="shared" si="1"/>
        <v>#DIV/0!</v>
      </c>
      <c r="H16" s="17"/>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ht="15" customHeight="1">
      <c r="A17" s="249" t="s">
        <v>31</v>
      </c>
      <c r="B17" s="260">
        <f>SUMIF('4-Basis ruimtestaat'!B:B,'2-Kosten per locatie'!A17,'4-Basis ruimtestaat'!I:I)</f>
        <v>264.76</v>
      </c>
      <c r="C17" s="190"/>
      <c r="D17" s="435">
        <f>_xlfn.MAXIFS('4-Basis ruimtestaat'!K:K,'4-Basis ruimtestaat'!B:B,'2-Kosten per locatie'!A17)</f>
        <v>200</v>
      </c>
      <c r="E17" s="215" t="e">
        <f>SUMIF('4-Basis ruimtestaat'!B:B,'2-Kosten per locatie'!A17,'4-Basis ruimtestaat'!L:L)</f>
        <v>#DIV/0!</v>
      </c>
      <c r="F17" s="445"/>
      <c r="G17" s="215" t="e">
        <f t="shared" si="1"/>
        <v>#DIV/0!</v>
      </c>
      <c r="H17" s="446" t="s">
        <v>437</v>
      </c>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ht="15" customHeight="1">
      <c r="A18" s="249" t="s">
        <v>32</v>
      </c>
      <c r="B18" s="260">
        <f>SUMIF('4-Basis ruimtestaat'!B:B,'2-Kosten per locatie'!A18,'4-Basis ruimtestaat'!I:I)</f>
        <v>132.42000000000002</v>
      </c>
      <c r="C18" s="190"/>
      <c r="D18" s="214">
        <f>_xlfn.MAXIFS('4-Basis ruimtestaat'!K:K,'4-Basis ruimtestaat'!B:B,'2-Kosten per locatie'!A18)</f>
        <v>255</v>
      </c>
      <c r="E18" s="215" t="e">
        <f>SUMIF('4-Basis ruimtestaat'!B:B,'2-Kosten per locatie'!A18,'4-Basis ruimtestaat'!L:L)</f>
        <v>#DIV/0!</v>
      </c>
      <c r="F18" s="445"/>
      <c r="G18" s="215" t="e">
        <f t="shared" si="1"/>
        <v>#DIV/0!</v>
      </c>
      <c r="H18" s="446" t="s">
        <v>437</v>
      </c>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ht="15" customHeight="1">
      <c r="A19" s="249" t="s">
        <v>33</v>
      </c>
      <c r="B19" s="260">
        <f>SUMIF('4-Basis ruimtestaat'!B:B,'2-Kosten per locatie'!A19,'4-Basis ruimtestaat'!I:I)</f>
        <v>46.48</v>
      </c>
      <c r="C19" s="190"/>
      <c r="D19" s="214">
        <f>_xlfn.MAXIFS('4-Basis ruimtestaat'!K:K,'4-Basis ruimtestaat'!B:B,'2-Kosten per locatie'!A19)</f>
        <v>255</v>
      </c>
      <c r="E19" s="215" t="e">
        <f>SUMIF('4-Basis ruimtestaat'!B:B,'2-Kosten per locatie'!A19,'4-Basis ruimtestaat'!L:L)</f>
        <v>#DIV/0!</v>
      </c>
      <c r="F19" s="445"/>
      <c r="G19" s="215" t="e">
        <f t="shared" si="1"/>
        <v>#DIV/0!</v>
      </c>
      <c r="H19" s="446" t="s">
        <v>437</v>
      </c>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ht="15" customHeight="1">
      <c r="A20" s="249" t="s">
        <v>34</v>
      </c>
      <c r="B20" s="260">
        <f>SUMIF('4-Basis ruimtestaat'!B:B,'2-Kosten per locatie'!A20,'4-Basis ruimtestaat'!I:I)</f>
        <v>359.09999999999997</v>
      </c>
      <c r="C20" s="190"/>
      <c r="D20" s="214">
        <f>_xlfn.MAXIFS('4-Basis ruimtestaat'!K:K,'4-Basis ruimtestaat'!B:B,'2-Kosten per locatie'!A20)</f>
        <v>255</v>
      </c>
      <c r="E20" s="215" t="e">
        <f>SUMIF('4-Basis ruimtestaat'!B:B,'2-Kosten per locatie'!A20,'4-Basis ruimtestaat'!L:L)</f>
        <v>#DIV/0!</v>
      </c>
      <c r="F20" s="215" t="e">
        <f t="shared" si="0"/>
        <v>#DIV/0!</v>
      </c>
      <c r="G20" s="215" t="e">
        <f t="shared" si="1"/>
        <v>#DIV/0!</v>
      </c>
      <c r="H20" s="17"/>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ht="15" customHeight="1">
      <c r="A21" s="249" t="s">
        <v>35</v>
      </c>
      <c r="B21" s="260">
        <f>SUMIF('4-Basis ruimtestaat'!B:B,'2-Kosten per locatie'!A21,'4-Basis ruimtestaat'!I:I)</f>
        <v>1508.05</v>
      </c>
      <c r="C21" s="190"/>
      <c r="D21" s="435">
        <f>_xlfn.MAXIFS('4-Basis ruimtestaat'!K:K,'4-Basis ruimtestaat'!B:B,'2-Kosten per locatie'!A21)</f>
        <v>200</v>
      </c>
      <c r="E21" s="215" t="e">
        <f>SUMIF('4-Basis ruimtestaat'!B:B,'2-Kosten per locatie'!A21,'4-Basis ruimtestaat'!L:L)</f>
        <v>#DIV/0!</v>
      </c>
      <c r="F21" s="215" t="e">
        <f t="shared" si="0"/>
        <v>#DIV/0!</v>
      </c>
      <c r="G21" s="215" t="e">
        <f t="shared" si="1"/>
        <v>#DIV/0!</v>
      </c>
      <c r="H21" s="17"/>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ht="15" customHeight="1">
      <c r="A22" s="249" t="s">
        <v>36</v>
      </c>
      <c r="B22" s="260">
        <f>SUMIF('4-Basis ruimtestaat'!B:B,'2-Kosten per locatie'!A22,'4-Basis ruimtestaat'!I:I)</f>
        <v>625.80000000000018</v>
      </c>
      <c r="C22" s="190"/>
      <c r="D22" s="214">
        <f>_xlfn.MAXIFS('4-Basis ruimtestaat'!K:K,'4-Basis ruimtestaat'!B:B,'2-Kosten per locatie'!A22)</f>
        <v>255</v>
      </c>
      <c r="E22" s="215" t="e">
        <f>SUMIF('4-Basis ruimtestaat'!B:B,'2-Kosten per locatie'!A22,'4-Basis ruimtestaat'!L:L)</f>
        <v>#DIV/0!</v>
      </c>
      <c r="F22" s="215" t="e">
        <f t="shared" si="0"/>
        <v>#DIV/0!</v>
      </c>
      <c r="G22" s="215" t="e">
        <f t="shared" si="1"/>
        <v>#DIV/0!</v>
      </c>
      <c r="H22" s="17"/>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ht="15" customHeight="1">
      <c r="A23" s="249" t="s">
        <v>37</v>
      </c>
      <c r="B23" s="260">
        <f>SUMIF('4-Basis ruimtestaat'!B:B,'2-Kosten per locatie'!A23,'4-Basis ruimtestaat'!I:I)</f>
        <v>774.3399999999998</v>
      </c>
      <c r="C23" s="190"/>
      <c r="D23" s="214">
        <f>_xlfn.MAXIFS('4-Basis ruimtestaat'!K:K,'4-Basis ruimtestaat'!B:B,'2-Kosten per locatie'!A23)</f>
        <v>255</v>
      </c>
      <c r="E23" s="215" t="e">
        <f>SUMIF('4-Basis ruimtestaat'!B:B,'2-Kosten per locatie'!A23,'4-Basis ruimtestaat'!L:L)</f>
        <v>#DIV/0!</v>
      </c>
      <c r="F23" s="215" t="e">
        <f t="shared" si="0"/>
        <v>#DIV/0!</v>
      </c>
      <c r="G23" s="215" t="e">
        <f t="shared" si="1"/>
        <v>#DIV/0!</v>
      </c>
      <c r="H23" s="17"/>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ht="15" customHeight="1">
      <c r="A24" s="261" t="s">
        <v>38</v>
      </c>
      <c r="B24" s="260">
        <f>SUMIF('4-Basis ruimtestaat'!B:B,'2-Kosten per locatie'!A24,'4-Basis ruimtestaat'!I:I)</f>
        <v>0</v>
      </c>
      <c r="C24" s="190"/>
      <c r="D24" s="214">
        <f>_xlfn.MAXIFS('4-Basis ruimtestaat'!K:K,'4-Basis ruimtestaat'!B:B,'2-Kosten per locatie'!A24)</f>
        <v>0</v>
      </c>
      <c r="E24" s="215">
        <f>SUMIF('4-Basis ruimtestaat'!B:B,'2-Kosten per locatie'!A24,'4-Basis ruimtestaat'!L:L)</f>
        <v>0</v>
      </c>
      <c r="F24" s="215">
        <f t="shared" si="0"/>
        <v>0</v>
      </c>
      <c r="G24" s="215">
        <f t="shared" si="1"/>
        <v>0</v>
      </c>
      <c r="H24" s="17"/>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ht="15" customHeight="1">
      <c r="A25" s="261" t="s">
        <v>399</v>
      </c>
      <c r="B25" s="260">
        <f>SUMIF('4-Basis ruimtestaat'!B:B,'2-Kosten per locatie'!A25,'4-Basis ruimtestaat'!I:I)</f>
        <v>2491.8405000000012</v>
      </c>
      <c r="C25" s="190"/>
      <c r="D25" s="214">
        <f>_xlfn.MAXIFS('4-Basis ruimtestaat'!K:K,'4-Basis ruimtestaat'!B:B,'2-Kosten per locatie'!A25)</f>
        <v>200</v>
      </c>
      <c r="E25" s="215" t="e">
        <f>SUMIF('4-Basis ruimtestaat'!B:B,'2-Kosten per locatie'!A25,'4-Basis ruimtestaat'!L:L)</f>
        <v>#DIV/0!</v>
      </c>
      <c r="F25" s="215" t="e">
        <f t="shared" si="0"/>
        <v>#DIV/0!</v>
      </c>
      <c r="G25" s="215" t="e">
        <f t="shared" si="1"/>
        <v>#DIV/0!</v>
      </c>
      <c r="H25" s="17"/>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s="20" customFormat="1" ht="15" customHeight="1">
      <c r="A26" s="262" t="s">
        <v>39</v>
      </c>
      <c r="B26" s="214">
        <f>SUM(B15:B25)</f>
        <v>6842.6905000000015</v>
      </c>
      <c r="C26" s="201"/>
      <c r="D26" s="168"/>
      <c r="E26" s="263" t="e">
        <f t="shared" ref="E26:G26" si="2">SUM(E15:E25)</f>
        <v>#DIV/0!</v>
      </c>
      <c r="F26" s="263" t="e">
        <f t="shared" si="2"/>
        <v>#DIV/0!</v>
      </c>
      <c r="G26" s="263" t="e">
        <f t="shared" si="2"/>
        <v>#DIV/0!</v>
      </c>
      <c r="H26" s="17"/>
    </row>
    <row r="27" spans="1:33" s="19" customFormat="1" ht="14.1" customHeight="1">
      <c r="A27" s="239" t="s">
        <v>436</v>
      </c>
      <c r="AD27" s="16"/>
    </row>
    <row r="28" spans="1:33" ht="79.2" customHeight="1">
      <c r="A28" s="22" t="s">
        <v>23</v>
      </c>
      <c r="B28" s="23" t="s">
        <v>40</v>
      </c>
      <c r="C28" s="23" t="s">
        <v>41</v>
      </c>
      <c r="D28" s="23" t="s">
        <v>42</v>
      </c>
      <c r="E28" s="211" t="s">
        <v>43</v>
      </c>
      <c r="F28" s="23" t="s">
        <v>44</v>
      </c>
      <c r="G28" s="23" t="s">
        <v>45</v>
      </c>
      <c r="H28" s="23" t="s">
        <v>46</v>
      </c>
      <c r="I28" s="23" t="s">
        <v>47</v>
      </c>
      <c r="J28" s="23" t="s">
        <v>48</v>
      </c>
      <c r="W28" s="19"/>
      <c r="X28" s="16"/>
      <c r="Y28" s="16"/>
      <c r="Z28" s="16"/>
      <c r="AA28" s="16"/>
      <c r="AB28" s="16"/>
      <c r="AC28" s="16"/>
      <c r="AD28" s="16"/>
      <c r="AE28" s="16"/>
      <c r="AF28" s="16"/>
      <c r="AG28" s="16"/>
    </row>
    <row r="29" spans="1:33" s="19" customFormat="1" ht="15" customHeight="1">
      <c r="A29" s="261" t="str">
        <f t="shared" ref="A29:A39" si="3">A15</f>
        <v>Sporthal t’ Crayenest</v>
      </c>
      <c r="B29" s="221" t="e">
        <f>(E15+F15)*'6-Opbouw uurtarief productie'!$E$47</f>
        <v>#DIV/0!</v>
      </c>
      <c r="C29" s="220" t="e">
        <f t="shared" ref="C29:C39" si="4">SUM(B29:B29)</f>
        <v>#DIV/0!</v>
      </c>
      <c r="D29" s="220" t="e">
        <f>G15*'7-Opbouw uurtarief toezicht'!$E$47</f>
        <v>#DIV/0!</v>
      </c>
      <c r="E29" s="223" t="e">
        <f t="shared" ref="E29:E39" si="5">SUM(D29:D29)</f>
        <v>#DIV/0!</v>
      </c>
      <c r="F29" s="219">
        <f>SUMIF('11-Vloeronderhoud'!A:A,'2-Kosten per locatie'!A29,'11-Vloeronderhoud'!H:H)</f>
        <v>0</v>
      </c>
      <c r="G29" s="220">
        <f>SUMIF('8-Additionele kosten'!A:A,'2-Kosten per locatie'!A29,'8-Additionele kosten'!H:H)</f>
        <v>0</v>
      </c>
      <c r="H29" s="220">
        <f>SUMIF('10-Glasbewassing'!A:A,'2-Kosten per locatie'!A29,'10-Glasbewassing'!H:H)</f>
        <v>0</v>
      </c>
      <c r="I29" s="220" t="e">
        <f t="shared" ref="I29:I39" si="6">C29+E29+F29+G29+H29</f>
        <v>#DIV/0!</v>
      </c>
      <c r="J29" s="220" t="e">
        <f>I29/12</f>
        <v>#DIV/0!</v>
      </c>
      <c r="K29" s="21"/>
      <c r="L29" s="21"/>
      <c r="M29" s="21"/>
      <c r="N29" s="21"/>
      <c r="O29" s="21"/>
    </row>
    <row r="30" spans="1:33" ht="15" customHeight="1">
      <c r="A30" s="261" t="str">
        <f t="shared" si="3"/>
        <v>wijkonderkomen begraafplaats</v>
      </c>
      <c r="B30" s="221" t="e">
        <f>(E16+F16)*'6-Opbouw uurtarief productie'!$E$47</f>
        <v>#DIV/0!</v>
      </c>
      <c r="C30" s="220" t="e">
        <f t="shared" si="4"/>
        <v>#DIV/0!</v>
      </c>
      <c r="D30" s="220" t="e">
        <f>G16*'7-Opbouw uurtarief toezicht'!$E$47</f>
        <v>#DIV/0!</v>
      </c>
      <c r="E30" s="223" t="e">
        <f t="shared" si="5"/>
        <v>#DIV/0!</v>
      </c>
      <c r="F30" s="219">
        <f>SUMIF('11-Vloeronderhoud'!A:A,'2-Kosten per locatie'!A30,'11-Vloeronderhoud'!H:H)</f>
        <v>0</v>
      </c>
      <c r="G30" s="220">
        <f>SUMIF('8-Additionele kosten'!A:A,'2-Kosten per locatie'!A30,'8-Additionele kosten'!H:H)</f>
        <v>0</v>
      </c>
      <c r="H30" s="220">
        <f>SUMIF('10-Glasbewassing'!A:A,'2-Kosten per locatie'!A30,'10-Glasbewassing'!H:H)</f>
        <v>0</v>
      </c>
      <c r="I30" s="220" t="e">
        <f t="shared" si="6"/>
        <v>#DIV/0!</v>
      </c>
      <c r="J30" s="220" t="e">
        <f t="shared" ref="J30:J31" si="7">I30/12</f>
        <v>#DIV/0!</v>
      </c>
      <c r="W30" s="19"/>
      <c r="X30" s="16"/>
      <c r="Y30" s="16"/>
      <c r="Z30" s="16"/>
      <c r="AA30" s="16"/>
      <c r="AB30" s="16"/>
      <c r="AC30" s="16"/>
      <c r="AD30" s="16"/>
      <c r="AE30" s="16"/>
      <c r="AF30" s="16"/>
      <c r="AG30" s="16"/>
    </row>
    <row r="31" spans="1:33" ht="15" customHeight="1">
      <c r="A31" s="261" t="str">
        <f t="shared" si="3"/>
        <v>NME</v>
      </c>
      <c r="B31" s="221" t="e">
        <f>(E17+F17)*'6-Opbouw uurtarief productie'!$E$47</f>
        <v>#DIV/0!</v>
      </c>
      <c r="C31" s="220" t="e">
        <f t="shared" si="4"/>
        <v>#DIV/0!</v>
      </c>
      <c r="D31" s="220" t="e">
        <f>G17*'7-Opbouw uurtarief toezicht'!$E$47</f>
        <v>#DIV/0!</v>
      </c>
      <c r="E31" s="223" t="e">
        <f t="shared" si="5"/>
        <v>#DIV/0!</v>
      </c>
      <c r="F31" s="219">
        <f>SUMIF('11-Vloeronderhoud'!A:A,'2-Kosten per locatie'!A31,'11-Vloeronderhoud'!H:H)</f>
        <v>0</v>
      </c>
      <c r="G31" s="220">
        <f>SUMIF('8-Additionele kosten'!A:A,'2-Kosten per locatie'!A31,'8-Additionele kosten'!H:H)</f>
        <v>0</v>
      </c>
      <c r="H31" s="220">
        <f>SUMIF('10-Glasbewassing'!A:A,'2-Kosten per locatie'!A31,'10-Glasbewassing'!H:H)</f>
        <v>0</v>
      </c>
      <c r="I31" s="220" t="e">
        <f t="shared" si="6"/>
        <v>#DIV/0!</v>
      </c>
      <c r="J31" s="220" t="e">
        <f t="shared" si="7"/>
        <v>#DIV/0!</v>
      </c>
      <c r="W31" s="19"/>
      <c r="X31" s="16"/>
      <c r="Y31" s="16"/>
      <c r="Z31" s="16"/>
      <c r="AA31" s="16"/>
      <c r="AB31" s="16"/>
      <c r="AC31" s="16"/>
      <c r="AD31" s="16"/>
      <c r="AE31" s="16"/>
      <c r="AF31" s="16"/>
      <c r="AG31" s="16"/>
    </row>
    <row r="32" spans="1:33" ht="15" customHeight="1">
      <c r="A32" s="261" t="str">
        <f t="shared" si="3"/>
        <v>NME Stallen</v>
      </c>
      <c r="B32" s="221" t="e">
        <f>(E18+F18)*'6-Opbouw uurtarief productie'!$E$47</f>
        <v>#DIV/0!</v>
      </c>
      <c r="C32" s="220" t="e">
        <f t="shared" si="4"/>
        <v>#DIV/0!</v>
      </c>
      <c r="D32" s="220" t="e">
        <f>G18*'7-Opbouw uurtarief toezicht'!$E$47</f>
        <v>#DIV/0!</v>
      </c>
      <c r="E32" s="223" t="e">
        <f t="shared" si="5"/>
        <v>#DIV/0!</v>
      </c>
      <c r="F32" s="219">
        <f>SUMIF('11-Vloeronderhoud'!A:A,'2-Kosten per locatie'!A32,'11-Vloeronderhoud'!H:H)</f>
        <v>0</v>
      </c>
      <c r="G32" s="220">
        <f>SUMIF('8-Additionele kosten'!A:A,'2-Kosten per locatie'!A32,'8-Additionele kosten'!H:H)</f>
        <v>0</v>
      </c>
      <c r="H32" s="220">
        <f>SUMIF('10-Glasbewassing'!A:A,'2-Kosten per locatie'!A32,'10-Glasbewassing'!H:H)</f>
        <v>0</v>
      </c>
      <c r="I32" s="220" t="e">
        <f t="shared" si="6"/>
        <v>#DIV/0!</v>
      </c>
      <c r="J32" s="220" t="e">
        <f t="shared" ref="J32:J39" si="8">I32/12</f>
        <v>#DIV/0!</v>
      </c>
      <c r="W32" s="19"/>
      <c r="X32" s="16"/>
      <c r="Y32" s="16"/>
      <c r="Z32" s="16"/>
      <c r="AA32" s="16"/>
      <c r="AB32" s="16"/>
      <c r="AC32" s="16"/>
      <c r="AD32" s="16"/>
      <c r="AE32" s="16"/>
      <c r="AF32" s="16"/>
      <c r="AG32" s="16"/>
    </row>
    <row r="33" spans="1:33" ht="15" customHeight="1">
      <c r="A33" s="261" t="str">
        <f t="shared" si="3"/>
        <v>NME Theehuis</v>
      </c>
      <c r="B33" s="221" t="e">
        <f>(E19+F19)*'6-Opbouw uurtarief productie'!$E$47</f>
        <v>#DIV/0!</v>
      </c>
      <c r="C33" s="220" t="e">
        <f t="shared" si="4"/>
        <v>#DIV/0!</v>
      </c>
      <c r="D33" s="220" t="e">
        <f>G19*'7-Opbouw uurtarief toezicht'!$E$47</f>
        <v>#DIV/0!</v>
      </c>
      <c r="E33" s="223" t="e">
        <f t="shared" si="5"/>
        <v>#DIV/0!</v>
      </c>
      <c r="F33" s="219">
        <f>SUMIF('11-Vloeronderhoud'!A:A,'2-Kosten per locatie'!A33,'11-Vloeronderhoud'!H:H)</f>
        <v>0</v>
      </c>
      <c r="G33" s="220">
        <f>SUMIF('8-Additionele kosten'!A:A,'2-Kosten per locatie'!A33,'8-Additionele kosten'!H:H)</f>
        <v>0</v>
      </c>
      <c r="H33" s="220">
        <f>SUMIF('10-Glasbewassing'!A:A,'2-Kosten per locatie'!A33,'10-Glasbewassing'!H:H)</f>
        <v>0</v>
      </c>
      <c r="I33" s="220" t="e">
        <f t="shared" si="6"/>
        <v>#DIV/0!</v>
      </c>
      <c r="J33" s="220" t="e">
        <f t="shared" si="8"/>
        <v>#DIV/0!</v>
      </c>
      <c r="W33" s="19"/>
      <c r="X33" s="16"/>
      <c r="Y33" s="16"/>
      <c r="Z33" s="16"/>
      <c r="AA33" s="16"/>
      <c r="AB33" s="16"/>
      <c r="AC33" s="16"/>
      <c r="AD33" s="16"/>
      <c r="AE33" s="16"/>
      <c r="AF33" s="16"/>
      <c r="AG33" s="16"/>
    </row>
    <row r="34" spans="1:33" ht="15" customHeight="1">
      <c r="A34" s="261" t="str">
        <f t="shared" si="3"/>
        <v>Gemeentewerf</v>
      </c>
      <c r="B34" s="221" t="e">
        <f>(E20+F20)*'6-Opbouw uurtarief productie'!$E$47</f>
        <v>#DIV/0!</v>
      </c>
      <c r="C34" s="220" t="e">
        <f t="shared" si="4"/>
        <v>#DIV/0!</v>
      </c>
      <c r="D34" s="220" t="e">
        <f>G20*'7-Opbouw uurtarief toezicht'!$E$47</f>
        <v>#DIV/0!</v>
      </c>
      <c r="E34" s="223" t="e">
        <f t="shared" si="5"/>
        <v>#DIV/0!</v>
      </c>
      <c r="F34" s="219">
        <f>SUMIF('11-Vloeronderhoud'!A:A,'2-Kosten per locatie'!A34,'11-Vloeronderhoud'!H:H)</f>
        <v>0</v>
      </c>
      <c r="G34" s="220">
        <f>SUMIF('8-Additionele kosten'!A:A,'2-Kosten per locatie'!A34,'8-Additionele kosten'!H:H)</f>
        <v>0</v>
      </c>
      <c r="H34" s="220">
        <f>SUMIF('10-Glasbewassing'!A:A,'2-Kosten per locatie'!A34,'10-Glasbewassing'!H:H)</f>
        <v>0</v>
      </c>
      <c r="I34" s="220" t="e">
        <f t="shared" si="6"/>
        <v>#DIV/0!</v>
      </c>
      <c r="J34" s="220" t="e">
        <f t="shared" si="8"/>
        <v>#DIV/0!</v>
      </c>
      <c r="W34" s="19"/>
      <c r="X34" s="16"/>
      <c r="Y34" s="16"/>
      <c r="Z34" s="16"/>
      <c r="AA34" s="16"/>
      <c r="AB34" s="16"/>
      <c r="AC34" s="16"/>
      <c r="AD34" s="16"/>
      <c r="AE34" s="16"/>
      <c r="AF34" s="16"/>
      <c r="AG34" s="16"/>
    </row>
    <row r="35" spans="1:33" ht="15" customHeight="1">
      <c r="A35" s="261" t="str">
        <f t="shared" si="3"/>
        <v>Sporthal de Valk</v>
      </c>
      <c r="B35" s="221" t="e">
        <f>(E21+F21)*'6-Opbouw uurtarief productie'!$E$47</f>
        <v>#DIV/0!</v>
      </c>
      <c r="C35" s="220" t="e">
        <f t="shared" si="4"/>
        <v>#DIV/0!</v>
      </c>
      <c r="D35" s="220" t="e">
        <f>G21*'7-Opbouw uurtarief toezicht'!$E$47</f>
        <v>#DIV/0!</v>
      </c>
      <c r="E35" s="223" t="e">
        <f t="shared" si="5"/>
        <v>#DIV/0!</v>
      </c>
      <c r="F35" s="219">
        <f>SUMIF('11-Vloeronderhoud'!A:A,'2-Kosten per locatie'!A35,'11-Vloeronderhoud'!H:H)</f>
        <v>0</v>
      </c>
      <c r="G35" s="220">
        <f>SUMIF('8-Additionele kosten'!A:A,'2-Kosten per locatie'!A35,'8-Additionele kosten'!H:H)</f>
        <v>0</v>
      </c>
      <c r="H35" s="220">
        <f>SUMIF('10-Glasbewassing'!A:A,'2-Kosten per locatie'!A35,'10-Glasbewassing'!H:H)</f>
        <v>0</v>
      </c>
      <c r="I35" s="220" t="e">
        <f t="shared" si="6"/>
        <v>#DIV/0!</v>
      </c>
      <c r="J35" s="220" t="e">
        <f t="shared" si="8"/>
        <v>#DIV/0!</v>
      </c>
      <c r="W35" s="19"/>
      <c r="X35" s="16"/>
      <c r="Y35" s="16"/>
      <c r="Z35" s="16"/>
      <c r="AA35" s="16"/>
      <c r="AB35" s="16"/>
      <c r="AC35" s="16"/>
      <c r="AD35" s="16"/>
      <c r="AE35" s="16"/>
      <c r="AF35" s="16"/>
      <c r="AG35" s="16"/>
    </row>
    <row r="36" spans="1:33" ht="15" customHeight="1">
      <c r="A36" s="261" t="str">
        <f t="shared" si="3"/>
        <v>Bonkelaarshuis</v>
      </c>
      <c r="B36" s="221" t="e">
        <f>(E22+F22)*'6-Opbouw uurtarief productie'!$E$47</f>
        <v>#DIV/0!</v>
      </c>
      <c r="C36" s="220" t="e">
        <f t="shared" si="4"/>
        <v>#DIV/0!</v>
      </c>
      <c r="D36" s="220" t="e">
        <f>G22*'7-Opbouw uurtarief toezicht'!$E$47</f>
        <v>#DIV/0!</v>
      </c>
      <c r="E36" s="223" t="e">
        <f t="shared" si="5"/>
        <v>#DIV/0!</v>
      </c>
      <c r="F36" s="219">
        <f>SUMIF('11-Vloeronderhoud'!A:A,'2-Kosten per locatie'!A36,'11-Vloeronderhoud'!H:H)</f>
        <v>0</v>
      </c>
      <c r="G36" s="220">
        <f>SUMIF('8-Additionele kosten'!A:A,'2-Kosten per locatie'!A36,'8-Additionele kosten'!H:H)</f>
        <v>0</v>
      </c>
      <c r="H36" s="220">
        <f>SUMIF('10-Glasbewassing'!A:A,'2-Kosten per locatie'!A36,'10-Glasbewassing'!H:H)</f>
        <v>0</v>
      </c>
      <c r="I36" s="220" t="e">
        <f t="shared" si="6"/>
        <v>#DIV/0!</v>
      </c>
      <c r="J36" s="220" t="e">
        <f t="shared" si="8"/>
        <v>#DIV/0!</v>
      </c>
      <c r="S36" s="19"/>
      <c r="T36" s="19"/>
      <c r="U36" s="19"/>
      <c r="V36" s="19"/>
      <c r="W36" s="19"/>
      <c r="X36" s="16"/>
      <c r="Y36" s="16"/>
      <c r="Z36" s="16"/>
      <c r="AA36" s="16"/>
      <c r="AB36" s="16"/>
      <c r="AC36" s="16"/>
      <c r="AD36" s="16"/>
      <c r="AE36" s="16"/>
      <c r="AF36" s="16"/>
      <c r="AG36" s="16"/>
    </row>
    <row r="37" spans="1:33" ht="15" customHeight="1">
      <c r="A37" s="261" t="str">
        <f t="shared" si="3"/>
        <v>Jongerencentrum</v>
      </c>
      <c r="B37" s="221" t="e">
        <f>(E23+F23)*'6-Opbouw uurtarief productie'!$E$47</f>
        <v>#DIV/0!</v>
      </c>
      <c r="C37" s="220" t="e">
        <f t="shared" si="4"/>
        <v>#DIV/0!</v>
      </c>
      <c r="D37" s="220" t="e">
        <f>G23*'7-Opbouw uurtarief toezicht'!$E$47</f>
        <v>#DIV/0!</v>
      </c>
      <c r="E37" s="223" t="e">
        <f t="shared" si="5"/>
        <v>#DIV/0!</v>
      </c>
      <c r="F37" s="219">
        <f>SUMIF('11-Vloeronderhoud'!A:A,'2-Kosten per locatie'!A37,'11-Vloeronderhoud'!H:H)</f>
        <v>0</v>
      </c>
      <c r="G37" s="220">
        <f>SUMIF('8-Additionele kosten'!A:A,'2-Kosten per locatie'!A37,'8-Additionele kosten'!H:H)</f>
        <v>0</v>
      </c>
      <c r="H37" s="220">
        <f>SUMIF('10-Glasbewassing'!A:A,'2-Kosten per locatie'!A37,'10-Glasbewassing'!H:H)</f>
        <v>0</v>
      </c>
      <c r="I37" s="220" t="e">
        <f t="shared" si="6"/>
        <v>#DIV/0!</v>
      </c>
      <c r="J37" s="220" t="e">
        <f t="shared" si="8"/>
        <v>#DIV/0!</v>
      </c>
      <c r="S37" s="19"/>
      <c r="T37" s="19"/>
      <c r="U37" s="19"/>
      <c r="V37" s="19"/>
      <c r="W37" s="19"/>
      <c r="X37" s="16"/>
      <c r="Y37" s="16"/>
      <c r="Z37" s="16"/>
      <c r="AA37" s="16"/>
      <c r="AB37" s="16"/>
      <c r="AC37" s="16"/>
      <c r="AD37" s="16"/>
      <c r="AE37" s="16"/>
      <c r="AF37" s="16"/>
      <c r="AG37" s="16"/>
    </row>
    <row r="38" spans="1:33" ht="15" customHeight="1">
      <c r="A38" s="261" t="str">
        <f t="shared" si="3"/>
        <v>Gemeentekantoor</v>
      </c>
      <c r="B38" s="221" t="e">
        <f>(E24+F24)*'6-Opbouw uurtarief productie'!$E$47</f>
        <v>#DIV/0!</v>
      </c>
      <c r="C38" s="220" t="e">
        <f t="shared" si="4"/>
        <v>#DIV/0!</v>
      </c>
      <c r="D38" s="220" t="e">
        <f>G24*'7-Opbouw uurtarief toezicht'!$E$47</f>
        <v>#DIV/0!</v>
      </c>
      <c r="E38" s="223" t="e">
        <f t="shared" si="5"/>
        <v>#DIV/0!</v>
      </c>
      <c r="F38" s="219">
        <f>SUMIF('11-Vloeronderhoud'!A:A,'2-Kosten per locatie'!A38,'11-Vloeronderhoud'!H:H)</f>
        <v>0</v>
      </c>
      <c r="G38" s="220">
        <f>SUMIF('8-Additionele kosten'!A:A,'2-Kosten per locatie'!A38,'8-Additionele kosten'!H:H)</f>
        <v>0</v>
      </c>
      <c r="H38" s="220">
        <f>SUMIF('10-Glasbewassing'!A:A,'2-Kosten per locatie'!A38,'10-Glasbewassing'!H:H)</f>
        <v>0</v>
      </c>
      <c r="I38" s="220" t="e">
        <f t="shared" si="6"/>
        <v>#DIV/0!</v>
      </c>
      <c r="J38" s="220" t="e">
        <f t="shared" si="8"/>
        <v>#DIV/0!</v>
      </c>
      <c r="S38" s="19"/>
      <c r="T38" s="19"/>
      <c r="U38" s="19"/>
      <c r="V38" s="19"/>
      <c r="W38" s="19"/>
      <c r="X38" s="16"/>
      <c r="Y38" s="16"/>
      <c r="Z38" s="16"/>
      <c r="AA38" s="16"/>
      <c r="AB38" s="16"/>
      <c r="AC38" s="16"/>
      <c r="AD38" s="16"/>
      <c r="AE38" s="16"/>
      <c r="AF38" s="16"/>
      <c r="AG38" s="16"/>
    </row>
    <row r="39" spans="1:33" ht="15" customHeight="1">
      <c r="A39" s="261" t="str">
        <f t="shared" si="3"/>
        <v>Sporthal de Stoep</v>
      </c>
      <c r="B39" s="221" t="e">
        <f>(E25+F25)*'6-Opbouw uurtarief productie'!$E$47</f>
        <v>#DIV/0!</v>
      </c>
      <c r="C39" s="220" t="e">
        <f t="shared" si="4"/>
        <v>#DIV/0!</v>
      </c>
      <c r="D39" s="220" t="e">
        <f>G25*'7-Opbouw uurtarief toezicht'!$E$47</f>
        <v>#DIV/0!</v>
      </c>
      <c r="E39" s="223" t="e">
        <f t="shared" si="5"/>
        <v>#DIV/0!</v>
      </c>
      <c r="F39" s="219">
        <f>SUMIF('11-Vloeronderhoud'!A:A,'2-Kosten per locatie'!A39,'11-Vloeronderhoud'!H:H)</f>
        <v>0</v>
      </c>
      <c r="G39" s="220">
        <f>SUMIF('8-Additionele kosten'!A:A,'2-Kosten per locatie'!A39,'8-Additionele kosten'!H:H)</f>
        <v>0</v>
      </c>
      <c r="H39" s="220">
        <f>SUMIF('10-Glasbewassing'!A:A,'2-Kosten per locatie'!A39,'10-Glasbewassing'!H:H)</f>
        <v>0</v>
      </c>
      <c r="I39" s="220" t="e">
        <f t="shared" si="6"/>
        <v>#DIV/0!</v>
      </c>
      <c r="J39" s="220" t="e">
        <f t="shared" si="8"/>
        <v>#DIV/0!</v>
      </c>
      <c r="S39" s="19"/>
      <c r="T39" s="19"/>
      <c r="U39" s="19"/>
      <c r="V39" s="19"/>
      <c r="W39" s="19"/>
      <c r="X39" s="16"/>
      <c r="Y39" s="16"/>
      <c r="Z39" s="16"/>
      <c r="AA39" s="16"/>
      <c r="AB39" s="16"/>
      <c r="AC39" s="16"/>
      <c r="AD39" s="16"/>
      <c r="AE39" s="16"/>
      <c r="AF39" s="16"/>
      <c r="AG39" s="16"/>
    </row>
    <row r="40" spans="1:33" s="20" customFormat="1" ht="15" customHeight="1">
      <c r="A40" s="262" t="s">
        <v>39</v>
      </c>
      <c r="B40" s="264" t="e">
        <f>SUM(B29:B39)</f>
        <v>#DIV/0!</v>
      </c>
      <c r="C40" s="264" t="e">
        <f t="shared" ref="C40:J40" si="9">SUM(C29:C39)</f>
        <v>#DIV/0!</v>
      </c>
      <c r="D40" s="264" t="e">
        <f t="shared" si="9"/>
        <v>#DIV/0!</v>
      </c>
      <c r="E40" s="264" t="e">
        <f t="shared" si="9"/>
        <v>#DIV/0!</v>
      </c>
      <c r="F40" s="264">
        <f t="shared" si="9"/>
        <v>0</v>
      </c>
      <c r="G40" s="264">
        <f t="shared" si="9"/>
        <v>0</v>
      </c>
      <c r="H40" s="264">
        <f t="shared" si="9"/>
        <v>0</v>
      </c>
      <c r="I40" s="264" t="e">
        <f t="shared" si="9"/>
        <v>#DIV/0!</v>
      </c>
      <c r="J40" s="264" t="e">
        <f t="shared" si="9"/>
        <v>#DIV/0!</v>
      </c>
      <c r="S40" s="19"/>
      <c r="T40" s="19"/>
      <c r="U40" s="19"/>
      <c r="V40" s="19"/>
      <c r="W40" s="19"/>
    </row>
    <row r="41" spans="1:33" ht="14.1" customHeight="1">
      <c r="AC41" s="19"/>
      <c r="AD41" s="19"/>
      <c r="AE41" s="19"/>
      <c r="AF41" s="19"/>
      <c r="AG41" s="19"/>
    </row>
  </sheetData>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N36"/>
  <sheetViews>
    <sheetView showGridLines="0" zoomScale="85" zoomScaleNormal="85" workbookViewId="0">
      <pane ySplit="9" topLeftCell="A13" activePane="bottomLeft" state="frozen"/>
      <selection activeCell="B1" sqref="B1"/>
      <selection pane="bottomLeft" activeCell="K8" sqref="K8:M8"/>
    </sheetView>
  </sheetViews>
  <sheetFormatPr defaultColWidth="9.109375" defaultRowHeight="13.2"/>
  <cols>
    <col min="1" max="1" width="29.6640625" style="3" customWidth="1"/>
    <col min="2" max="2" width="9.109375" style="3" customWidth="1"/>
    <col min="3" max="6" width="9.109375" style="3"/>
    <col min="7" max="7" width="17.33203125" style="3" bestFit="1" customWidth="1"/>
    <col min="8" max="8" width="9.109375" style="3"/>
    <col min="9" max="9" width="2.109375" style="3" customWidth="1"/>
    <col min="10" max="10" width="9.109375" style="26"/>
    <col min="11" max="11" width="10.109375" style="3" customWidth="1"/>
    <col min="12" max="12" width="11.6640625" style="3" customWidth="1"/>
    <col min="13" max="13" width="10.109375" style="3" customWidth="1"/>
    <col min="14" max="14" width="3" style="3" customWidth="1"/>
    <col min="15" max="15" width="9.109375" style="3"/>
    <col min="16" max="16" width="30.44140625" style="3" customWidth="1"/>
    <col min="17" max="16384" width="9.109375" style="3"/>
  </cols>
  <sheetData>
    <row r="1" spans="1:14">
      <c r="A1" s="265" t="s">
        <v>4</v>
      </c>
    </row>
    <row r="3" spans="1:14" ht="15">
      <c r="A3" s="24" t="str">
        <f>'2-Kosten per locatie'!A3</f>
        <v>Naam opdrachtgever</v>
      </c>
      <c r="B3" s="33" t="str">
        <f>'2-Kosten per locatie'!B3</f>
        <v>Basis calculatiemodel</v>
      </c>
      <c r="C3" s="142"/>
    </row>
    <row r="4" spans="1:14" ht="15">
      <c r="A4" s="24" t="str">
        <f>'2-Kosten per locatie'!A4</f>
        <v>Calculatie onderdeel</v>
      </c>
      <c r="B4" s="33" t="str">
        <f ca="1">MID(CELL("bestandsnaam",$B$7),SEARCH("]",CELL("bestandsnaam",$B$7),1)+1,256)</f>
        <v>3-Productie normen</v>
      </c>
      <c r="C4" s="33"/>
    </row>
    <row r="5" spans="1:14" ht="15">
      <c r="A5" s="24" t="str">
        <f>'2-Kosten per locatie'!A5</f>
        <v>Gebouw/plaats</v>
      </c>
      <c r="B5" s="33" t="str">
        <f>'2-Kosten per locatie'!B5</f>
        <v>Sliedrecht</v>
      </c>
      <c r="C5" s="33"/>
    </row>
    <row r="6" spans="1:14" ht="15">
      <c r="A6" s="24" t="str">
        <f>'2-Kosten per locatie'!A6</f>
        <v>Referentie nummer</v>
      </c>
      <c r="B6" s="33" t="str">
        <f>'2-Kosten per locatie'!B6</f>
        <v>GS-EA-MVD-SW-2023</v>
      </c>
      <c r="C6" s="33"/>
      <c r="E6" s="266" t="s">
        <v>49</v>
      </c>
      <c r="F6" s="267"/>
      <c r="G6" s="268" t="e">
        <f>SUM('4-Basis ruimtestaat'!P:P)/SUM('4-Basis ruimtestaat'!L:L)</f>
        <v>#DIV/0!</v>
      </c>
      <c r="H6" s="269" t="s">
        <v>50</v>
      </c>
    </row>
    <row r="7" spans="1:14">
      <c r="A7" s="27"/>
      <c r="B7" s="28">
        <v>0.48</v>
      </c>
      <c r="C7" s="28">
        <v>0.48</v>
      </c>
      <c r="D7" s="426">
        <v>0.48</v>
      </c>
      <c r="E7" s="427">
        <v>0.56000000000000005</v>
      </c>
      <c r="F7" s="427">
        <v>0.8</v>
      </c>
      <c r="G7" s="428">
        <v>1</v>
      </c>
      <c r="H7" s="29"/>
      <c r="I7" s="31"/>
      <c r="K7" s="30"/>
      <c r="L7" s="30"/>
      <c r="M7" s="31"/>
      <c r="N7" s="31"/>
    </row>
    <row r="8" spans="1:14" ht="27.75" customHeight="1">
      <c r="A8" s="270" t="s">
        <v>51</v>
      </c>
      <c r="B8" s="271">
        <v>2</v>
      </c>
      <c r="C8" s="271">
        <v>4</v>
      </c>
      <c r="D8" s="271">
        <v>12</v>
      </c>
      <c r="E8" s="271">
        <v>52</v>
      </c>
      <c r="F8" s="271">
        <v>156</v>
      </c>
      <c r="G8" s="271">
        <v>200</v>
      </c>
      <c r="H8" s="271">
        <v>255</v>
      </c>
      <c r="I8" s="31"/>
      <c r="K8" s="272"/>
      <c r="L8" s="272"/>
      <c r="M8" s="272"/>
      <c r="N8" s="32"/>
    </row>
    <row r="9" spans="1:14" ht="58.2" customHeight="1">
      <c r="A9" s="273" t="s">
        <v>52</v>
      </c>
      <c r="B9" s="447" t="s">
        <v>53</v>
      </c>
      <c r="C9" s="448"/>
      <c r="D9" s="448"/>
      <c r="E9" s="448"/>
      <c r="F9" s="448"/>
      <c r="G9" s="448"/>
      <c r="H9" s="449"/>
      <c r="I9" s="31"/>
      <c r="J9" s="274" t="s">
        <v>54</v>
      </c>
      <c r="K9" s="275" t="s">
        <v>55</v>
      </c>
      <c r="L9" s="275" t="s">
        <v>56</v>
      </c>
      <c r="M9" s="275" t="s">
        <v>57</v>
      </c>
      <c r="N9" s="32"/>
    </row>
    <row r="10" spans="1:14">
      <c r="A10" s="276" t="s">
        <v>58</v>
      </c>
      <c r="B10" s="444"/>
      <c r="C10" s="444"/>
      <c r="D10" s="444"/>
      <c r="E10" s="444"/>
      <c r="F10" s="444"/>
      <c r="G10" s="277"/>
      <c r="H10" s="277"/>
      <c r="I10" s="31"/>
      <c r="J10" s="278">
        <f>SUMIF('4-Basis ruimtestaat'!G:G,'3-Productie normen'!A10,'4-Basis ruimtestaat'!I:I)</f>
        <v>974.2996999999998</v>
      </c>
      <c r="K10" s="224"/>
      <c r="M10" s="31"/>
      <c r="N10" s="31"/>
    </row>
    <row r="11" spans="1:14">
      <c r="A11" s="276" t="s">
        <v>59</v>
      </c>
      <c r="B11" s="444"/>
      <c r="C11" s="444"/>
      <c r="D11" s="444"/>
      <c r="E11" s="444"/>
      <c r="F11" s="444"/>
      <c r="G11" s="277"/>
      <c r="H11" s="277"/>
      <c r="I11" s="31"/>
      <c r="J11" s="278">
        <f>SUMIF('4-Basis ruimtestaat'!G:G,'3-Productie normen'!A11,'4-Basis ruimtestaat'!I:I)</f>
        <v>201.86620000000005</v>
      </c>
      <c r="N11" s="31"/>
    </row>
    <row r="12" spans="1:14">
      <c r="A12" s="276" t="s">
        <v>60</v>
      </c>
      <c r="B12" s="444"/>
      <c r="C12" s="444"/>
      <c r="D12" s="444"/>
      <c r="E12" s="444"/>
      <c r="F12" s="444"/>
      <c r="G12" s="277"/>
      <c r="H12" s="277"/>
      <c r="I12" s="31"/>
      <c r="J12" s="278">
        <f>SUMIF('4-Basis ruimtestaat'!G:G,'3-Productie normen'!A12,'4-Basis ruimtestaat'!I:I)</f>
        <v>708.49800000000005</v>
      </c>
    </row>
    <row r="13" spans="1:14">
      <c r="A13" s="276" t="s">
        <v>61</v>
      </c>
      <c r="B13" s="444"/>
      <c r="C13" s="444"/>
      <c r="D13" s="444"/>
      <c r="E13" s="444"/>
      <c r="F13" s="444"/>
      <c r="G13" s="277"/>
      <c r="H13" s="277"/>
      <c r="I13" s="31"/>
      <c r="J13" s="278">
        <f>SUMIF('4-Basis ruimtestaat'!G:G,'3-Productie normen'!A13,'4-Basis ruimtestaat'!I:I)</f>
        <v>264.22180000000003</v>
      </c>
    </row>
    <row r="14" spans="1:14">
      <c r="A14" s="276" t="s">
        <v>62</v>
      </c>
      <c r="B14" s="444"/>
      <c r="C14" s="444"/>
      <c r="D14" s="444"/>
      <c r="E14" s="444"/>
      <c r="F14" s="444"/>
      <c r="G14" s="277"/>
      <c r="H14" s="277"/>
      <c r="I14" s="31"/>
      <c r="J14" s="278">
        <f>SUMIF('4-Basis ruimtestaat'!G:G,'3-Productie normen'!A14,'4-Basis ruimtestaat'!I:I)</f>
        <v>393.71359999999993</v>
      </c>
    </row>
    <row r="15" spans="1:14">
      <c r="A15" s="276" t="s">
        <v>63</v>
      </c>
      <c r="B15" s="444"/>
      <c r="C15" s="444"/>
      <c r="D15" s="444"/>
      <c r="E15" s="444"/>
      <c r="F15" s="444"/>
      <c r="G15" s="277"/>
      <c r="H15" s="277"/>
      <c r="I15" s="31"/>
      <c r="J15" s="278">
        <f>SUMIF('4-Basis ruimtestaat'!G:G,'3-Productie normen'!A15,'4-Basis ruimtestaat'!I:I)</f>
        <v>587.17500000000018</v>
      </c>
    </row>
    <row r="16" spans="1:14">
      <c r="A16" s="276" t="s">
        <v>64</v>
      </c>
      <c r="B16" s="444"/>
      <c r="C16" s="444"/>
      <c r="D16" s="444"/>
      <c r="E16" s="444"/>
      <c r="F16" s="444"/>
      <c r="G16" s="444"/>
      <c r="H16" s="277"/>
      <c r="I16" s="31"/>
      <c r="J16" s="278">
        <f>SUMIF('4-Basis ruimtestaat'!G:G,'3-Productie normen'!A16,'4-Basis ruimtestaat'!I:I)</f>
        <v>10.1</v>
      </c>
    </row>
    <row r="17" spans="1:14">
      <c r="A17" s="276" t="s">
        <v>65</v>
      </c>
      <c r="B17" s="444"/>
      <c r="C17" s="444"/>
      <c r="D17" s="444"/>
      <c r="E17" s="444"/>
      <c r="F17" s="444"/>
      <c r="G17" s="277"/>
      <c r="H17" s="444"/>
      <c r="I17" s="31"/>
      <c r="J17" s="278">
        <f>SUMIF('4-Basis ruimtestaat'!G:G,'3-Productie normen'!A17,'4-Basis ruimtestaat'!I:I)</f>
        <v>2668.875</v>
      </c>
    </row>
    <row r="18" spans="1:14">
      <c r="A18" s="276" t="s">
        <v>386</v>
      </c>
      <c r="B18" s="444"/>
      <c r="C18" s="444"/>
      <c r="D18" s="444"/>
      <c r="E18" s="444"/>
      <c r="F18" s="444"/>
      <c r="G18" s="277"/>
      <c r="H18" s="444"/>
      <c r="I18" s="31"/>
      <c r="J18" s="278">
        <f>SUMIF('4-Basis ruimtestaat'!G:G,'3-Productie normen'!A18,'4-Basis ruimtestaat'!I:I)</f>
        <v>322.96000000000004</v>
      </c>
    </row>
    <row r="19" spans="1:14">
      <c r="A19" s="279" t="s">
        <v>66</v>
      </c>
      <c r="B19" s="444"/>
      <c r="C19" s="444"/>
      <c r="D19" s="444"/>
      <c r="E19" s="444"/>
      <c r="F19" s="444"/>
      <c r="G19" s="277"/>
      <c r="H19" s="277"/>
      <c r="I19" s="31"/>
      <c r="J19" s="278">
        <f>SUMIF('4-Basis ruimtestaat'!G:G,'3-Productie normen'!A19,'4-Basis ruimtestaat'!I:I)</f>
        <v>132.97</v>
      </c>
    </row>
    <row r="20" spans="1:14">
      <c r="A20" s="279" t="s">
        <v>67</v>
      </c>
      <c r="B20" s="444"/>
      <c r="C20" s="444"/>
      <c r="D20" s="444"/>
      <c r="E20" s="444"/>
      <c r="F20" s="444"/>
      <c r="G20" s="277"/>
      <c r="H20" s="277"/>
      <c r="I20" s="31"/>
      <c r="J20" s="278">
        <f>SUMIF('4-Basis ruimtestaat'!G:G,'3-Productie normen'!A20,'4-Basis ruimtestaat'!I:I)</f>
        <v>101.24000000000001</v>
      </c>
      <c r="M20" s="161"/>
    </row>
    <row r="21" spans="1:14">
      <c r="A21" s="279" t="s">
        <v>68</v>
      </c>
      <c r="B21" s="444"/>
      <c r="C21" s="444"/>
      <c r="D21" s="444"/>
      <c r="E21" s="444"/>
      <c r="F21" s="444"/>
      <c r="G21" s="277"/>
      <c r="H21" s="277"/>
      <c r="I21" s="31"/>
      <c r="J21" s="278">
        <f>SUMIF('4-Basis ruimtestaat'!G:G,'3-Productie normen'!A21,'4-Basis ruimtestaat'!I:I)</f>
        <v>7.0699999999999994</v>
      </c>
      <c r="M21" s="161"/>
    </row>
    <row r="22" spans="1:14">
      <c r="A22" s="279" t="s">
        <v>69</v>
      </c>
      <c r="B22" s="444"/>
      <c r="C22" s="444"/>
      <c r="D22" s="444"/>
      <c r="E22" s="444"/>
      <c r="F22" s="444"/>
      <c r="G22" s="277"/>
      <c r="H22" s="277"/>
      <c r="I22" s="31"/>
      <c r="J22" s="278">
        <f>SUMIF('4-Basis ruimtestaat'!G:G,'3-Productie normen'!A22,'4-Basis ruimtestaat'!I:I)</f>
        <v>148.81119999999999</v>
      </c>
      <c r="M22" s="161"/>
    </row>
    <row r="23" spans="1:14">
      <c r="A23" s="279" t="s">
        <v>70</v>
      </c>
      <c r="B23" s="280"/>
      <c r="C23" s="280"/>
      <c r="D23" s="280"/>
      <c r="E23" s="280"/>
      <c r="F23" s="280"/>
      <c r="G23" s="280"/>
      <c r="H23" s="281"/>
      <c r="I23" s="31"/>
      <c r="J23" s="278">
        <f>SUMIF('4-Basis ruimtestaat'!G:G,'3-Productie normen'!A23,'4-Basis ruimtestaat'!I:I)</f>
        <v>320.89</v>
      </c>
      <c r="M23" s="31"/>
    </row>
    <row r="24" spans="1:14">
      <c r="A24" s="279"/>
      <c r="B24" s="282"/>
      <c r="C24" s="282"/>
      <c r="D24" s="282"/>
      <c r="E24" s="282"/>
      <c r="F24" s="282"/>
      <c r="G24" s="282"/>
      <c r="H24" s="283"/>
      <c r="I24" s="31"/>
      <c r="J24" s="278"/>
      <c r="M24" s="31"/>
      <c r="N24" s="32"/>
    </row>
    <row r="25" spans="1:14">
      <c r="A25" s="284" t="s">
        <v>39</v>
      </c>
      <c r="B25" s="153"/>
      <c r="C25" s="153"/>
      <c r="D25" s="153"/>
      <c r="E25" s="153"/>
      <c r="F25" s="153"/>
      <c r="G25" s="153"/>
      <c r="H25" s="285"/>
      <c r="I25" s="141"/>
      <c r="J25" s="286">
        <f>SUM(J10:J24)</f>
        <v>6842.6904999999997</v>
      </c>
      <c r="M25" s="31"/>
      <c r="N25" s="31"/>
    </row>
    <row r="26" spans="1:14">
      <c r="J26" s="3"/>
      <c r="M26" s="31"/>
      <c r="N26" s="31"/>
    </row>
    <row r="27" spans="1:14">
      <c r="A27" s="287" t="s">
        <v>71</v>
      </c>
      <c r="B27" s="288">
        <v>2</v>
      </c>
      <c r="C27" s="288">
        <v>3</v>
      </c>
      <c r="D27" s="288">
        <v>4</v>
      </c>
      <c r="E27" s="288">
        <v>5</v>
      </c>
      <c r="F27" s="288">
        <v>6</v>
      </c>
      <c r="G27" s="288">
        <v>7</v>
      </c>
      <c r="H27" s="288">
        <v>8</v>
      </c>
      <c r="I27" s="31"/>
      <c r="M27" s="31"/>
    </row>
    <row r="29" spans="1:14">
      <c r="A29" s="232" t="s">
        <v>72</v>
      </c>
      <c r="B29" s="232" t="s">
        <v>73</v>
      </c>
      <c r="C29" s="233" t="s">
        <v>74</v>
      </c>
    </row>
    <row r="30" spans="1:14">
      <c r="A30" s="237" t="s">
        <v>75</v>
      </c>
      <c r="B30" s="234">
        <v>2</v>
      </c>
      <c r="C30" s="235">
        <v>2</v>
      </c>
    </row>
    <row r="31" spans="1:14">
      <c r="A31" s="237" t="s">
        <v>76</v>
      </c>
      <c r="B31" s="234">
        <v>4</v>
      </c>
      <c r="C31" s="235">
        <v>3</v>
      </c>
    </row>
    <row r="32" spans="1:14">
      <c r="A32" s="237" t="s">
        <v>77</v>
      </c>
      <c r="B32" s="234">
        <v>12</v>
      </c>
      <c r="C32" s="235">
        <v>4</v>
      </c>
    </row>
    <row r="33" spans="1:3">
      <c r="A33" s="237" t="s">
        <v>78</v>
      </c>
      <c r="B33" s="234">
        <v>52</v>
      </c>
      <c r="C33" s="235">
        <v>5</v>
      </c>
    </row>
    <row r="34" spans="1:3">
      <c r="A34" s="237" t="s">
        <v>79</v>
      </c>
      <c r="B34" s="234">
        <v>156</v>
      </c>
      <c r="C34" s="235">
        <v>6</v>
      </c>
    </row>
    <row r="35" spans="1:3">
      <c r="A35" s="237" t="s">
        <v>391</v>
      </c>
      <c r="B35" s="236">
        <v>200</v>
      </c>
      <c r="C35" s="235">
        <v>7</v>
      </c>
    </row>
    <row r="36" spans="1:3">
      <c r="A36" s="237" t="s">
        <v>80</v>
      </c>
      <c r="B36" s="236">
        <v>255</v>
      </c>
      <c r="C36" s="235">
        <v>8</v>
      </c>
    </row>
  </sheetData>
  <mergeCells count="1">
    <mergeCell ref="B9:H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Q328"/>
  <sheetViews>
    <sheetView showGridLines="0" showZeros="0" zoomScale="85" zoomScaleNormal="85" zoomScalePageLayoutView="75" workbookViewId="0">
      <pane xSplit="1" ySplit="9" topLeftCell="B98" activePane="bottomRight" state="frozen"/>
      <selection pane="topRight" activeCell="B1" sqref="B1"/>
      <selection pane="bottomLeft" activeCell="B1" sqref="B1"/>
      <selection pane="bottomRight" activeCell="L233" sqref="L233"/>
    </sheetView>
  </sheetViews>
  <sheetFormatPr defaultColWidth="8.6640625" defaultRowHeight="14.1" customHeight="1"/>
  <cols>
    <col min="1" max="1" width="5" style="3" bestFit="1" customWidth="1"/>
    <col min="2" max="2" width="30.44140625" style="3" bestFit="1" customWidth="1"/>
    <col min="3" max="3" width="35.44140625" style="3" customWidth="1"/>
    <col min="4" max="4" width="12" style="3" customWidth="1"/>
    <col min="5" max="5" width="10.109375" style="3" customWidth="1"/>
    <col min="6" max="6" width="23.44140625" style="3" customWidth="1"/>
    <col min="7" max="7" width="23.33203125" style="3" bestFit="1" customWidth="1"/>
    <col min="8" max="8" width="12.109375" style="3" bestFit="1" customWidth="1"/>
    <col min="9" max="9" width="8" style="3" bestFit="1" customWidth="1"/>
    <col min="10" max="10" width="10.6640625" style="107" customWidth="1"/>
    <col min="11" max="11" width="9.109375" style="57" customWidth="1"/>
    <col min="12" max="12" width="18" style="3" bestFit="1" customWidth="1"/>
    <col min="13" max="13" width="12" style="3" bestFit="1" customWidth="1"/>
    <col min="14" max="14" width="35.109375" style="3" customWidth="1"/>
    <col min="15" max="15" width="3" style="3" customWidth="1"/>
    <col min="16" max="16" width="11.109375" style="3" customWidth="1"/>
    <col min="17" max="17" width="15.5546875" style="3" bestFit="1" customWidth="1"/>
    <col min="18" max="16384" width="8.6640625" style="3"/>
  </cols>
  <sheetData>
    <row r="1" spans="1:16" ht="13.2">
      <c r="B1" s="265" t="s">
        <v>4</v>
      </c>
      <c r="K1" s="3"/>
    </row>
    <row r="2" spans="1:16" ht="14.1" customHeight="1">
      <c r="A2" s="35">
        <v>2</v>
      </c>
      <c r="B2" s="36"/>
      <c r="C2" s="36"/>
      <c r="D2" s="37"/>
      <c r="E2" s="38"/>
      <c r="F2" s="39"/>
      <c r="G2" s="39"/>
      <c r="H2" s="40"/>
      <c r="I2" s="41"/>
      <c r="J2" s="160"/>
      <c r="K2" s="42"/>
      <c r="L2" s="40"/>
      <c r="M2" s="43"/>
      <c r="N2" s="39"/>
    </row>
    <row r="3" spans="1:16" ht="14.1" customHeight="1">
      <c r="A3" s="35">
        <v>3</v>
      </c>
      <c r="B3" s="24" t="str">
        <f>'2-Kosten per locatie'!A3</f>
        <v>Naam opdrachtgever</v>
      </c>
      <c r="C3" s="33" t="str">
        <f>'2-Kosten per locatie'!B3</f>
        <v>Basis calculatiemodel</v>
      </c>
      <c r="E3" s="44"/>
      <c r="H3" s="40"/>
      <c r="I3" s="41"/>
      <c r="J3" s="160"/>
      <c r="K3" s="42"/>
      <c r="L3" s="40"/>
      <c r="M3" s="43"/>
      <c r="N3" s="39"/>
    </row>
    <row r="4" spans="1:16" ht="14.1" customHeight="1">
      <c r="A4" s="35">
        <v>4</v>
      </c>
      <c r="B4" s="24" t="str">
        <f>'2-Kosten per locatie'!A4</f>
        <v>Calculatie onderdeel</v>
      </c>
      <c r="C4" s="33" t="str">
        <f ca="1">MID(CELL("bestandsnaam",$D$9),SEARCH("]",CELL("bestandsnaam",$D$9),1)+1,256)</f>
        <v>4-Basis ruimtestaat</v>
      </c>
      <c r="E4" s="45"/>
      <c r="H4" s="40"/>
      <c r="I4" s="41"/>
      <c r="J4" s="160"/>
      <c r="K4" s="42"/>
      <c r="L4" s="40"/>
      <c r="M4" s="43"/>
      <c r="N4" s="39"/>
    </row>
    <row r="5" spans="1:16" ht="14.1" customHeight="1">
      <c r="A5" s="35">
        <v>5</v>
      </c>
      <c r="B5" s="24" t="str">
        <f>'2-Kosten per locatie'!A5</f>
        <v>Gebouw/plaats</v>
      </c>
      <c r="C5" s="33" t="str">
        <f>'2-Kosten per locatie'!B5</f>
        <v>Sliedrecht</v>
      </c>
      <c r="E5" s="44"/>
      <c r="H5" s="40"/>
      <c r="I5" s="41"/>
      <c r="J5" s="160"/>
      <c r="K5" s="42"/>
      <c r="L5" s="40"/>
      <c r="M5" s="43"/>
      <c r="N5" s="39"/>
    </row>
    <row r="6" spans="1:16" ht="14.1" customHeight="1">
      <c r="A6" s="35">
        <v>6</v>
      </c>
      <c r="B6" s="24" t="str">
        <f>'2-Kosten per locatie'!A6</f>
        <v>Referentie nummer</v>
      </c>
      <c r="C6" s="33" t="str">
        <f>'2-Kosten per locatie'!B6</f>
        <v>GS-EA-MVD-SW-2023</v>
      </c>
      <c r="E6" s="44"/>
      <c r="H6" s="40"/>
      <c r="I6" s="41"/>
      <c r="J6" s="160"/>
      <c r="K6" s="42"/>
      <c r="L6" s="40"/>
      <c r="M6" s="43"/>
      <c r="N6" s="39"/>
    </row>
    <row r="7" spans="1:16" ht="12.75" customHeight="1">
      <c r="A7" s="35">
        <v>7</v>
      </c>
      <c r="B7" s="24" t="str">
        <f>'2-Kosten per locatie'!A7</f>
        <v>Naam dienstverlener</v>
      </c>
      <c r="C7" s="33" t="str">
        <f>'2-Kosten per locatie'!B7</f>
        <v>Gemeente Sliedrecht</v>
      </c>
      <c r="E7" s="44"/>
      <c r="H7" s="40"/>
      <c r="I7" s="41"/>
      <c r="J7" s="160"/>
      <c r="K7" s="42"/>
      <c r="L7" s="40"/>
      <c r="M7" s="43"/>
      <c r="N7" s="39"/>
    </row>
    <row r="8" spans="1:16" ht="14.1" customHeight="1">
      <c r="A8" s="35">
        <v>8</v>
      </c>
      <c r="B8" s="39"/>
      <c r="C8" s="39"/>
      <c r="D8" s="37"/>
      <c r="E8" s="38"/>
      <c r="F8" s="39"/>
      <c r="G8" s="39"/>
      <c r="H8" s="40"/>
      <c r="I8" s="41"/>
      <c r="J8" s="160"/>
      <c r="K8" s="42"/>
      <c r="L8" s="40"/>
      <c r="M8" s="40"/>
      <c r="N8" s="39"/>
    </row>
    <row r="9" spans="1:16" ht="44.1" customHeight="1">
      <c r="A9" s="35">
        <v>9</v>
      </c>
      <c r="B9" s="217" t="s">
        <v>81</v>
      </c>
      <c r="C9" s="217" t="s">
        <v>82</v>
      </c>
      <c r="D9" s="217" t="s">
        <v>83</v>
      </c>
      <c r="E9" s="289" t="s">
        <v>84</v>
      </c>
      <c r="F9" s="217" t="s">
        <v>85</v>
      </c>
      <c r="G9" s="217" t="s">
        <v>86</v>
      </c>
      <c r="H9" s="290" t="s">
        <v>87</v>
      </c>
      <c r="I9" s="291" t="s">
        <v>88</v>
      </c>
      <c r="J9" s="292" t="s">
        <v>89</v>
      </c>
      <c r="K9" s="23" t="s">
        <v>90</v>
      </c>
      <c r="L9" s="292" t="s">
        <v>91</v>
      </c>
      <c r="M9" s="292" t="s">
        <v>92</v>
      </c>
      <c r="N9" s="155" t="s">
        <v>93</v>
      </c>
      <c r="O9" s="34"/>
      <c r="P9" s="155" t="s">
        <v>94</v>
      </c>
    </row>
    <row r="10" spans="1:16" s="46" customFormat="1" ht="14.1" customHeight="1">
      <c r="A10" s="35">
        <v>10</v>
      </c>
      <c r="B10" s="249" t="s">
        <v>394</v>
      </c>
      <c r="C10" s="293"/>
      <c r="D10" s="434" t="s">
        <v>95</v>
      </c>
      <c r="E10" s="294"/>
      <c r="F10" s="250" t="s">
        <v>96</v>
      </c>
      <c r="G10" s="237" t="s">
        <v>70</v>
      </c>
      <c r="H10" s="237" t="s">
        <v>97</v>
      </c>
      <c r="I10" s="252">
        <v>2.2999999999999998</v>
      </c>
      <c r="J10" s="295">
        <f t="shared" ref="J10:J73" si="0">SUM(K10:K10)</f>
        <v>0</v>
      </c>
      <c r="K10" s="296" t="s">
        <v>385</v>
      </c>
      <c r="L10" s="212">
        <f t="shared" ref="L10:L73" si="1">IF(K10="nio",0,IF(K10&gt;0,K10*I10/M10,0))</f>
        <v>0</v>
      </c>
      <c r="M10" s="297" t="e">
        <f>IF(K10="nio",0,IF(K10&gt;0,VLOOKUP(G10,'3-Productie normen'!A:L,VLOOKUP(K10,'3-Productie normen'!$B$30:$C$36,2,FALSE),FALSE)))/VLOOKUP(B10,'2-Kosten per locatie'!$A$14:$C$26,3,FALSE)</f>
        <v>#DIV/0!</v>
      </c>
      <c r="N10" s="298"/>
      <c r="O10" s="3"/>
      <c r="P10" s="299">
        <f t="shared" ref="P10:P41" si="2">J10*I10</f>
        <v>0</v>
      </c>
    </row>
    <row r="11" spans="1:16" ht="14.1" customHeight="1">
      <c r="A11" s="35">
        <v>11</v>
      </c>
      <c r="B11" s="249" t="s">
        <v>394</v>
      </c>
      <c r="C11" s="293"/>
      <c r="D11" s="434" t="s">
        <v>95</v>
      </c>
      <c r="E11" s="294"/>
      <c r="F11" s="250" t="s">
        <v>98</v>
      </c>
      <c r="G11" s="48" t="s">
        <v>60</v>
      </c>
      <c r="H11" s="237" t="s">
        <v>97</v>
      </c>
      <c r="I11" s="252">
        <v>18</v>
      </c>
      <c r="J11" s="295">
        <f t="shared" si="0"/>
        <v>200</v>
      </c>
      <c r="K11" s="296">
        <v>200</v>
      </c>
      <c r="L11" s="212" t="e">
        <f t="shared" si="1"/>
        <v>#DIV/0!</v>
      </c>
      <c r="M11" s="297" t="e">
        <f>IF(K11="nio",0,IF(K11&gt;0,VLOOKUP(G11,'3-Productie normen'!A:L,VLOOKUP(K11,'3-Productie normen'!$B$30:$C$36,2,FALSE),FALSE)))/VLOOKUP(B11,'2-Kosten per locatie'!$A$14:$C$26,3,FALSE)</f>
        <v>#DIV/0!</v>
      </c>
      <c r="N11" s="298"/>
      <c r="P11" s="299">
        <f t="shared" si="2"/>
        <v>3600</v>
      </c>
    </row>
    <row r="12" spans="1:16" ht="14.1" customHeight="1">
      <c r="A12" s="35">
        <v>12</v>
      </c>
      <c r="B12" s="249" t="s">
        <v>394</v>
      </c>
      <c r="C12" s="293"/>
      <c r="D12" s="434" t="s">
        <v>95</v>
      </c>
      <c r="E12" s="294"/>
      <c r="F12" s="250" t="s">
        <v>99</v>
      </c>
      <c r="G12" s="276" t="s">
        <v>62</v>
      </c>
      <c r="H12" s="237" t="s">
        <v>97</v>
      </c>
      <c r="I12" s="252">
        <v>29</v>
      </c>
      <c r="J12" s="295">
        <f t="shared" si="0"/>
        <v>200</v>
      </c>
      <c r="K12" s="296">
        <v>200</v>
      </c>
      <c r="L12" s="212" t="e">
        <f t="shared" si="1"/>
        <v>#DIV/0!</v>
      </c>
      <c r="M12" s="297" t="e">
        <f>IF(K12="nio",0,IF(K12&gt;0,VLOOKUP(G12,'3-Productie normen'!A:L,VLOOKUP(K12,'3-Productie normen'!$B$30:$C$36,2,FALSE),FALSE)))/VLOOKUP(B12,'2-Kosten per locatie'!$A$14:$C$26,3,FALSE)</f>
        <v>#DIV/0!</v>
      </c>
      <c r="N12" s="298"/>
      <c r="P12" s="299">
        <f t="shared" si="2"/>
        <v>5800</v>
      </c>
    </row>
    <row r="13" spans="1:16" ht="14.1" customHeight="1">
      <c r="A13" s="35">
        <v>13</v>
      </c>
      <c r="B13" s="249" t="s">
        <v>394</v>
      </c>
      <c r="C13" s="293"/>
      <c r="D13" s="434" t="s">
        <v>95</v>
      </c>
      <c r="E13" s="294"/>
      <c r="F13" s="250" t="s">
        <v>100</v>
      </c>
      <c r="G13" s="237" t="s">
        <v>59</v>
      </c>
      <c r="H13" s="237" t="s">
        <v>97</v>
      </c>
      <c r="I13" s="252">
        <v>1.1000000000000001</v>
      </c>
      <c r="J13" s="295">
        <f t="shared" si="0"/>
        <v>200</v>
      </c>
      <c r="K13" s="296">
        <v>200</v>
      </c>
      <c r="L13" s="212" t="e">
        <f t="shared" si="1"/>
        <v>#DIV/0!</v>
      </c>
      <c r="M13" s="297" t="e">
        <f>IF(K13="nio",0,IF(K13&gt;0,VLOOKUP(G13,'3-Productie normen'!A:L,VLOOKUP(K13,'3-Productie normen'!$B$30:$C$36,2,FALSE),FALSE)))/VLOOKUP(B13,'2-Kosten per locatie'!$A$14:$C$26,3,FALSE)</f>
        <v>#DIV/0!</v>
      </c>
      <c r="N13" s="298"/>
      <c r="P13" s="299">
        <f t="shared" si="2"/>
        <v>220.00000000000003</v>
      </c>
    </row>
    <row r="14" spans="1:16" ht="14.1" customHeight="1">
      <c r="A14" s="35">
        <v>14</v>
      </c>
      <c r="B14" s="249" t="s">
        <v>394</v>
      </c>
      <c r="C14" s="293"/>
      <c r="D14" s="434" t="s">
        <v>95</v>
      </c>
      <c r="E14" s="47"/>
      <c r="F14" s="250" t="s">
        <v>101</v>
      </c>
      <c r="G14" s="276" t="s">
        <v>69</v>
      </c>
      <c r="H14" s="237" t="s">
        <v>97</v>
      </c>
      <c r="I14" s="252">
        <v>16</v>
      </c>
      <c r="J14" s="295">
        <f t="shared" si="0"/>
        <v>200</v>
      </c>
      <c r="K14" s="296">
        <v>200</v>
      </c>
      <c r="L14" s="212" t="e">
        <f t="shared" si="1"/>
        <v>#DIV/0!</v>
      </c>
      <c r="M14" s="297" t="e">
        <f>IF(K14="nio",0,IF(K14&gt;0,VLOOKUP(G14,'3-Productie normen'!A:L,VLOOKUP(K14,'3-Productie normen'!$B$30:$C$36,2,FALSE),FALSE)))/VLOOKUP(B14,'2-Kosten per locatie'!$A$14:$C$26,3,FALSE)</f>
        <v>#DIV/0!</v>
      </c>
      <c r="N14" s="298"/>
      <c r="P14" s="299">
        <f t="shared" si="2"/>
        <v>3200</v>
      </c>
    </row>
    <row r="15" spans="1:16" ht="14.1" customHeight="1">
      <c r="A15" s="35">
        <v>15</v>
      </c>
      <c r="B15" s="249" t="s">
        <v>394</v>
      </c>
      <c r="C15" s="293"/>
      <c r="D15" s="434" t="s">
        <v>95</v>
      </c>
      <c r="E15" s="294"/>
      <c r="F15" s="250" t="s">
        <v>102</v>
      </c>
      <c r="G15" s="276" t="s">
        <v>69</v>
      </c>
      <c r="H15" s="237" t="s">
        <v>97</v>
      </c>
      <c r="I15" s="252">
        <v>16</v>
      </c>
      <c r="J15" s="295">
        <f t="shared" si="0"/>
        <v>200</v>
      </c>
      <c r="K15" s="296">
        <v>200</v>
      </c>
      <c r="L15" s="212" t="e">
        <f t="shared" si="1"/>
        <v>#DIV/0!</v>
      </c>
      <c r="M15" s="297" t="e">
        <f>IF(K15="nio",0,IF(K15&gt;0,VLOOKUP(G15,'3-Productie normen'!A:L,VLOOKUP(K15,'3-Productie normen'!$B$30:$C$36,2,FALSE),FALSE)))/VLOOKUP(B15,'2-Kosten per locatie'!$A$14:$C$26,3,FALSE)</f>
        <v>#DIV/0!</v>
      </c>
      <c r="N15" s="298"/>
      <c r="P15" s="299">
        <f t="shared" si="2"/>
        <v>3200</v>
      </c>
    </row>
    <row r="16" spans="1:16" ht="14.1" customHeight="1">
      <c r="A16" s="35">
        <v>16</v>
      </c>
      <c r="B16" s="249" t="s">
        <v>394</v>
      </c>
      <c r="C16" s="293"/>
      <c r="D16" s="434" t="s">
        <v>95</v>
      </c>
      <c r="E16" s="294"/>
      <c r="F16" s="250" t="s">
        <v>103</v>
      </c>
      <c r="G16" s="237" t="s">
        <v>59</v>
      </c>
      <c r="H16" s="237" t="s">
        <v>97</v>
      </c>
      <c r="I16" s="252">
        <v>1.1000000000000001</v>
      </c>
      <c r="J16" s="295">
        <f t="shared" si="0"/>
        <v>200</v>
      </c>
      <c r="K16" s="296">
        <v>200</v>
      </c>
      <c r="L16" s="212" t="e">
        <f t="shared" si="1"/>
        <v>#DIV/0!</v>
      </c>
      <c r="M16" s="297" t="e">
        <f>IF(K16="nio",0,IF(K16&gt;0,VLOOKUP(G16,'3-Productie normen'!A:L,VLOOKUP(K16,'3-Productie normen'!$B$30:$C$36,2,FALSE),FALSE)))/VLOOKUP(B16,'2-Kosten per locatie'!$A$14:$C$26,3,FALSE)</f>
        <v>#DIV/0!</v>
      </c>
      <c r="N16" s="298"/>
      <c r="P16" s="299">
        <f t="shared" si="2"/>
        <v>220.00000000000003</v>
      </c>
    </row>
    <row r="17" spans="1:16" ht="14.1" customHeight="1">
      <c r="A17" s="35">
        <v>17</v>
      </c>
      <c r="B17" s="249" t="s">
        <v>394</v>
      </c>
      <c r="C17" s="293"/>
      <c r="D17" s="434" t="s">
        <v>95</v>
      </c>
      <c r="E17" s="294"/>
      <c r="F17" s="250" t="s">
        <v>104</v>
      </c>
      <c r="G17" s="276" t="s">
        <v>62</v>
      </c>
      <c r="H17" s="237" t="s">
        <v>97</v>
      </c>
      <c r="I17" s="252">
        <v>32.5</v>
      </c>
      <c r="J17" s="295">
        <f t="shared" si="0"/>
        <v>200</v>
      </c>
      <c r="K17" s="296">
        <v>200</v>
      </c>
      <c r="L17" s="212" t="e">
        <f t="shared" si="1"/>
        <v>#DIV/0!</v>
      </c>
      <c r="M17" s="297" t="e">
        <f>IF(K17="nio",0,IF(K17&gt;0,VLOOKUP(G17,'3-Productie normen'!A:L,VLOOKUP(K17,'3-Productie normen'!$B$30:$C$36,2,FALSE),FALSE)))/VLOOKUP(B17,'2-Kosten per locatie'!$A$14:$C$26,3,FALSE)</f>
        <v>#DIV/0!</v>
      </c>
      <c r="N17" s="298"/>
      <c r="P17" s="299">
        <f t="shared" si="2"/>
        <v>6500</v>
      </c>
    </row>
    <row r="18" spans="1:16" ht="14.1" customHeight="1">
      <c r="A18" s="35">
        <v>18</v>
      </c>
      <c r="B18" s="249" t="s">
        <v>394</v>
      </c>
      <c r="C18" s="293"/>
      <c r="D18" s="434" t="s">
        <v>95</v>
      </c>
      <c r="E18" s="294"/>
      <c r="F18" s="250" t="s">
        <v>105</v>
      </c>
      <c r="G18" s="237" t="s">
        <v>65</v>
      </c>
      <c r="H18" s="237" t="s">
        <v>106</v>
      </c>
      <c r="I18" s="252">
        <v>252.2</v>
      </c>
      <c r="J18" s="295">
        <f t="shared" si="0"/>
        <v>200</v>
      </c>
      <c r="K18" s="296">
        <v>200</v>
      </c>
      <c r="L18" s="212" t="e">
        <f t="shared" si="1"/>
        <v>#DIV/0!</v>
      </c>
      <c r="M18" s="297" t="e">
        <f>IF(K18="nio",0,IF(K18&gt;0,VLOOKUP(G18,'3-Productie normen'!A:L,VLOOKUP(K18,'3-Productie normen'!$B$30:$C$36,2,FALSE),FALSE)))/VLOOKUP(B18,'2-Kosten per locatie'!$A$14:$C$26,3,FALSE)</f>
        <v>#DIV/0!</v>
      </c>
      <c r="N18" s="298"/>
      <c r="P18" s="299">
        <f t="shared" si="2"/>
        <v>50440</v>
      </c>
    </row>
    <row r="19" spans="1:16" ht="14.1" customHeight="1">
      <c r="A19" s="35">
        <v>19</v>
      </c>
      <c r="B19" s="249" t="s">
        <v>394</v>
      </c>
      <c r="C19" s="293"/>
      <c r="D19" s="434" t="s">
        <v>95</v>
      </c>
      <c r="E19" s="47"/>
      <c r="F19" s="250" t="s">
        <v>107</v>
      </c>
      <c r="G19" s="276" t="s">
        <v>58</v>
      </c>
      <c r="H19" s="237" t="s">
        <v>97</v>
      </c>
      <c r="I19" s="252">
        <v>7.9</v>
      </c>
      <c r="J19" s="295">
        <f t="shared" si="0"/>
        <v>200</v>
      </c>
      <c r="K19" s="296">
        <v>200</v>
      </c>
      <c r="L19" s="212" t="e">
        <f t="shared" si="1"/>
        <v>#DIV/0!</v>
      </c>
      <c r="M19" s="297" t="e">
        <f>IF(K19="nio",0,IF(K19&gt;0,VLOOKUP(G19,'3-Productie normen'!A:L,VLOOKUP(K19,'3-Productie normen'!$B$30:$C$36,2,FALSE),FALSE)))/VLOOKUP(B19,'2-Kosten per locatie'!$A$14:$C$26,3,FALSE)</f>
        <v>#DIV/0!</v>
      </c>
      <c r="N19" s="298"/>
      <c r="P19" s="299">
        <f t="shared" si="2"/>
        <v>1580</v>
      </c>
    </row>
    <row r="20" spans="1:16" ht="14.1" customHeight="1">
      <c r="A20" s="35">
        <v>20</v>
      </c>
      <c r="B20" s="249" t="s">
        <v>394</v>
      </c>
      <c r="C20" s="293"/>
      <c r="D20" s="434" t="s">
        <v>95</v>
      </c>
      <c r="E20" s="294"/>
      <c r="F20" s="250" t="s">
        <v>108</v>
      </c>
      <c r="G20" s="237" t="s">
        <v>70</v>
      </c>
      <c r="H20" s="237" t="s">
        <v>97</v>
      </c>
      <c r="I20" s="252">
        <v>2.5</v>
      </c>
      <c r="J20" s="295">
        <f t="shared" si="0"/>
        <v>0</v>
      </c>
      <c r="K20" s="296" t="s">
        <v>385</v>
      </c>
      <c r="L20" s="212">
        <f t="shared" si="1"/>
        <v>0</v>
      </c>
      <c r="M20" s="297" t="e">
        <f>IF(K20="nio",0,IF(K20&gt;0,VLOOKUP(G20,'3-Productie normen'!A:L,VLOOKUP(K20,'3-Productie normen'!$B$30:$C$36,2,FALSE),FALSE)))/VLOOKUP(B20,'2-Kosten per locatie'!$A$14:$C$26,3,FALSE)</f>
        <v>#DIV/0!</v>
      </c>
      <c r="N20" s="298"/>
      <c r="P20" s="299">
        <f t="shared" si="2"/>
        <v>0</v>
      </c>
    </row>
    <row r="21" spans="1:16" ht="14.1" customHeight="1">
      <c r="A21" s="35">
        <v>21</v>
      </c>
      <c r="B21" s="249" t="s">
        <v>394</v>
      </c>
      <c r="C21" s="293"/>
      <c r="D21" s="434" t="s">
        <v>95</v>
      </c>
      <c r="E21" s="294"/>
      <c r="F21" s="251" t="s">
        <v>109</v>
      </c>
      <c r="G21" s="237" t="s">
        <v>70</v>
      </c>
      <c r="H21" s="237" t="s">
        <v>106</v>
      </c>
      <c r="I21" s="252">
        <v>38</v>
      </c>
      <c r="J21" s="295">
        <f t="shared" si="0"/>
        <v>0</v>
      </c>
      <c r="K21" s="296" t="s">
        <v>385</v>
      </c>
      <c r="L21" s="212">
        <f t="shared" si="1"/>
        <v>0</v>
      </c>
      <c r="M21" s="297" t="e">
        <f>IF(K21="nio",0,IF(K21&gt;0,VLOOKUP(G21,'3-Productie normen'!A:L,VLOOKUP(K21,'3-Productie normen'!$B$30:$C$36,2,FALSE),FALSE)))/VLOOKUP(B21,'2-Kosten per locatie'!$A$14:$C$26,3,FALSE)</f>
        <v>#DIV/0!</v>
      </c>
      <c r="N21" s="298"/>
      <c r="P21" s="299">
        <f t="shared" si="2"/>
        <v>0</v>
      </c>
    </row>
    <row r="22" spans="1:16" ht="14.1" customHeight="1">
      <c r="A22" s="35">
        <v>22</v>
      </c>
      <c r="B22" s="425" t="s">
        <v>30</v>
      </c>
      <c r="C22" s="293"/>
      <c r="D22" s="434" t="s">
        <v>110</v>
      </c>
      <c r="E22" s="294"/>
      <c r="F22" s="250" t="s">
        <v>111</v>
      </c>
      <c r="G22" s="279" t="s">
        <v>58</v>
      </c>
      <c r="H22" s="237" t="s">
        <v>112</v>
      </c>
      <c r="I22" s="252">
        <v>6.7</v>
      </c>
      <c r="J22" s="295">
        <f t="shared" si="0"/>
        <v>255</v>
      </c>
      <c r="K22" s="296">
        <v>255</v>
      </c>
      <c r="L22" s="212" t="e">
        <f t="shared" si="1"/>
        <v>#DIV/0!</v>
      </c>
      <c r="M22" s="297" t="e">
        <f>IF(K22="nio",0,IF(K22&gt;0,VLOOKUP(G22,'3-Productie normen'!A:L,VLOOKUP(K22,'3-Productie normen'!$B$30:$C$36,2,FALSE),FALSE)))/VLOOKUP(B22,'2-Kosten per locatie'!$A$14:$C$26,3,FALSE)</f>
        <v>#DIV/0!</v>
      </c>
      <c r="N22" s="298"/>
      <c r="P22" s="299">
        <f t="shared" si="2"/>
        <v>1708.5</v>
      </c>
    </row>
    <row r="23" spans="1:16" ht="14.1" customHeight="1">
      <c r="A23" s="35">
        <v>23</v>
      </c>
      <c r="B23" s="249" t="s">
        <v>30</v>
      </c>
      <c r="C23" s="293"/>
      <c r="D23" s="434" t="s">
        <v>110</v>
      </c>
      <c r="E23" s="294"/>
      <c r="F23" s="250" t="s">
        <v>107</v>
      </c>
      <c r="G23" s="276" t="s">
        <v>58</v>
      </c>
      <c r="H23" s="237" t="s">
        <v>112</v>
      </c>
      <c r="I23" s="252">
        <v>24.45</v>
      </c>
      <c r="J23" s="295">
        <f t="shared" si="0"/>
        <v>255</v>
      </c>
      <c r="K23" s="296">
        <v>255</v>
      </c>
      <c r="L23" s="212" t="e">
        <f t="shared" si="1"/>
        <v>#DIV/0!</v>
      </c>
      <c r="M23" s="297" t="e">
        <f>IF(K23="nio",0,IF(K23&gt;0,VLOOKUP(G23,'3-Productie normen'!A:L,VLOOKUP(K23,'3-Productie normen'!$B$30:$C$36,2,FALSE),FALSE)))/VLOOKUP(B23,'2-Kosten per locatie'!$A$14:$C$26,3,FALSE)</f>
        <v>#DIV/0!</v>
      </c>
      <c r="N23" s="298"/>
      <c r="P23" s="299">
        <f t="shared" si="2"/>
        <v>6234.75</v>
      </c>
    </row>
    <row r="24" spans="1:16" ht="14.1" customHeight="1">
      <c r="A24" s="35">
        <v>24</v>
      </c>
      <c r="B24" s="249" t="s">
        <v>30</v>
      </c>
      <c r="C24" s="293"/>
      <c r="D24" s="434" t="s">
        <v>110</v>
      </c>
      <c r="E24" s="47"/>
      <c r="F24" s="250" t="s">
        <v>113</v>
      </c>
      <c r="G24" s="276" t="s">
        <v>62</v>
      </c>
      <c r="H24" s="237" t="s">
        <v>114</v>
      </c>
      <c r="I24" s="252">
        <v>5.25</v>
      </c>
      <c r="J24" s="295">
        <f t="shared" si="0"/>
        <v>255</v>
      </c>
      <c r="K24" s="296">
        <v>255</v>
      </c>
      <c r="L24" s="212" t="e">
        <f t="shared" si="1"/>
        <v>#DIV/0!</v>
      </c>
      <c r="M24" s="297" t="e">
        <f>IF(K24="nio",0,IF(K24&gt;0,VLOOKUP(G24,'3-Productie normen'!A:L,VLOOKUP(K24,'3-Productie normen'!$B$30:$C$36,2,FALSE),FALSE)))/VLOOKUP(B24,'2-Kosten per locatie'!$A$14:$C$26,3,FALSE)</f>
        <v>#DIV/0!</v>
      </c>
      <c r="N24" s="298"/>
      <c r="P24" s="299">
        <f t="shared" si="2"/>
        <v>1338.75</v>
      </c>
    </row>
    <row r="25" spans="1:16" ht="14.1" customHeight="1">
      <c r="A25" s="35">
        <v>25</v>
      </c>
      <c r="B25" s="249" t="s">
        <v>30</v>
      </c>
      <c r="C25" s="293"/>
      <c r="D25" s="434" t="s">
        <v>110</v>
      </c>
      <c r="E25" s="294"/>
      <c r="F25" s="250" t="s">
        <v>115</v>
      </c>
      <c r="G25" s="276" t="s">
        <v>69</v>
      </c>
      <c r="H25" s="237" t="s">
        <v>114</v>
      </c>
      <c r="I25" s="252">
        <v>0.85</v>
      </c>
      <c r="J25" s="295">
        <f t="shared" si="0"/>
        <v>255</v>
      </c>
      <c r="K25" s="296">
        <v>255</v>
      </c>
      <c r="L25" s="212" t="e">
        <f t="shared" si="1"/>
        <v>#DIV/0!</v>
      </c>
      <c r="M25" s="297" t="e">
        <f>IF(K25="nio",0,IF(K25&gt;0,VLOOKUP(G25,'3-Productie normen'!A:L,VLOOKUP(K25,'3-Productie normen'!$B$30:$C$36,2,FALSE),FALSE)))/VLOOKUP(B25,'2-Kosten per locatie'!$A$14:$C$26,3,FALSE)</f>
        <v>#DIV/0!</v>
      </c>
      <c r="N25" s="298"/>
      <c r="P25" s="299">
        <f t="shared" si="2"/>
        <v>216.75</v>
      </c>
    </row>
    <row r="26" spans="1:16" ht="14.1" customHeight="1">
      <c r="A26" s="35">
        <v>26</v>
      </c>
      <c r="B26" s="249" t="s">
        <v>30</v>
      </c>
      <c r="C26" s="293"/>
      <c r="D26" s="434" t="s">
        <v>110</v>
      </c>
      <c r="E26" s="294"/>
      <c r="F26" s="250" t="s">
        <v>116</v>
      </c>
      <c r="G26" s="48" t="s">
        <v>60</v>
      </c>
      <c r="H26" s="237" t="s">
        <v>112</v>
      </c>
      <c r="I26" s="252">
        <v>7</v>
      </c>
      <c r="J26" s="295">
        <f t="shared" si="0"/>
        <v>255</v>
      </c>
      <c r="K26" s="296">
        <v>255</v>
      </c>
      <c r="L26" s="212" t="e">
        <f t="shared" si="1"/>
        <v>#DIV/0!</v>
      </c>
      <c r="M26" s="297" t="e">
        <f>IF(K26="nio",0,IF(K26&gt;0,VLOOKUP(G26,'3-Productie normen'!A:L,VLOOKUP(K26,'3-Productie normen'!$B$30:$C$36,2,FALSE),FALSE)))/VLOOKUP(B26,'2-Kosten per locatie'!$A$14:$C$26,3,FALSE)</f>
        <v>#DIV/0!</v>
      </c>
      <c r="N26" s="298"/>
      <c r="P26" s="299">
        <f t="shared" si="2"/>
        <v>1785</v>
      </c>
    </row>
    <row r="27" spans="1:16" ht="14.1" customHeight="1">
      <c r="A27" s="35">
        <v>27</v>
      </c>
      <c r="B27" s="249" t="s">
        <v>30</v>
      </c>
      <c r="C27" s="293"/>
      <c r="D27" s="434" t="s">
        <v>110</v>
      </c>
      <c r="E27" s="294"/>
      <c r="F27" s="250" t="s">
        <v>117</v>
      </c>
      <c r="G27" s="293" t="s">
        <v>61</v>
      </c>
      <c r="H27" s="237" t="s">
        <v>112</v>
      </c>
      <c r="I27" s="252">
        <v>19.55</v>
      </c>
      <c r="J27" s="295">
        <f t="shared" si="0"/>
        <v>255</v>
      </c>
      <c r="K27" s="296">
        <v>255</v>
      </c>
      <c r="L27" s="212" t="e">
        <f t="shared" si="1"/>
        <v>#DIV/0!</v>
      </c>
      <c r="M27" s="297" t="e">
        <f>IF(K27="nio",0,IF(K27&gt;0,VLOOKUP(G27,'3-Productie normen'!A:L,VLOOKUP(K27,'3-Productie normen'!$B$30:$C$36,2,FALSE),FALSE)))/VLOOKUP(B27,'2-Kosten per locatie'!$A$14:$C$26,3,FALSE)</f>
        <v>#DIV/0!</v>
      </c>
      <c r="N27" s="298"/>
      <c r="P27" s="299">
        <f t="shared" si="2"/>
        <v>4985.25</v>
      </c>
    </row>
    <row r="28" spans="1:16" ht="14.1" customHeight="1">
      <c r="A28" s="35">
        <v>28</v>
      </c>
      <c r="B28" s="249" t="s">
        <v>30</v>
      </c>
      <c r="C28" s="293"/>
      <c r="D28" s="434" t="s">
        <v>118</v>
      </c>
      <c r="E28" s="294"/>
      <c r="F28" s="250" t="s">
        <v>119</v>
      </c>
      <c r="G28" s="237" t="s">
        <v>67</v>
      </c>
      <c r="H28" s="237" t="s">
        <v>106</v>
      </c>
      <c r="I28" s="252">
        <v>4</v>
      </c>
      <c r="J28" s="295">
        <f t="shared" si="0"/>
        <v>255</v>
      </c>
      <c r="K28" s="296">
        <v>255</v>
      </c>
      <c r="L28" s="212" t="e">
        <f t="shared" si="1"/>
        <v>#DIV/0!</v>
      </c>
      <c r="M28" s="297" t="e">
        <f>IF(K28="nio",0,IF(K28&gt;0,VLOOKUP(G28,'3-Productie normen'!A:L,VLOOKUP(K28,'3-Productie normen'!$B$30:$C$36,2,FALSE),FALSE)))/VLOOKUP(B28,'2-Kosten per locatie'!$A$14:$C$26,3,FALSE)</f>
        <v>#DIV/0!</v>
      </c>
      <c r="N28" s="298"/>
      <c r="P28" s="299">
        <f t="shared" si="2"/>
        <v>1020</v>
      </c>
    </row>
    <row r="29" spans="1:16" ht="14.1" customHeight="1">
      <c r="A29" s="35">
        <v>29</v>
      </c>
      <c r="B29" s="249" t="s">
        <v>30</v>
      </c>
      <c r="C29" s="293"/>
      <c r="D29" s="434" t="s">
        <v>95</v>
      </c>
      <c r="E29" s="47"/>
      <c r="F29" s="250" t="s">
        <v>120</v>
      </c>
      <c r="G29" s="48" t="s">
        <v>60</v>
      </c>
      <c r="H29" s="237" t="s">
        <v>97</v>
      </c>
      <c r="I29" s="252">
        <v>10</v>
      </c>
      <c r="J29" s="295">
        <f t="shared" si="0"/>
        <v>255</v>
      </c>
      <c r="K29" s="296">
        <v>255</v>
      </c>
      <c r="L29" s="212" t="e">
        <f t="shared" si="1"/>
        <v>#DIV/0!</v>
      </c>
      <c r="M29" s="297" t="e">
        <f>IF(K29="nio",0,IF(K29&gt;0,VLOOKUP(G29,'3-Productie normen'!A:L,VLOOKUP(K29,'3-Productie normen'!$B$30:$C$36,2,FALSE),FALSE)))/VLOOKUP(B29,'2-Kosten per locatie'!$A$14:$C$26,3,FALSE)</f>
        <v>#DIV/0!</v>
      </c>
      <c r="N29" s="298"/>
      <c r="P29" s="299">
        <f t="shared" si="2"/>
        <v>2550</v>
      </c>
    </row>
    <row r="30" spans="1:16" ht="14.1" customHeight="1">
      <c r="A30" s="35">
        <v>30</v>
      </c>
      <c r="B30" s="249" t="s">
        <v>30</v>
      </c>
      <c r="C30" s="293"/>
      <c r="D30" s="434" t="s">
        <v>95</v>
      </c>
      <c r="E30" s="294"/>
      <c r="F30" s="250" t="s">
        <v>96</v>
      </c>
      <c r="G30" s="237" t="s">
        <v>70</v>
      </c>
      <c r="H30" s="300" t="s">
        <v>97</v>
      </c>
      <c r="I30" s="252">
        <v>3.4</v>
      </c>
      <c r="J30" s="295">
        <f t="shared" si="0"/>
        <v>0</v>
      </c>
      <c r="K30" s="296" t="s">
        <v>385</v>
      </c>
      <c r="L30" s="212">
        <f t="shared" si="1"/>
        <v>0</v>
      </c>
      <c r="M30" s="297" t="e">
        <f>IF(K30="nio",0,IF(K30&gt;0,VLOOKUP(G30,'3-Productie normen'!A:L,VLOOKUP(K30,'3-Productie normen'!$B$30:$C$36,2,FALSE),FALSE)))/VLOOKUP(B30,'2-Kosten per locatie'!$A$14:$C$26,3,FALSE)</f>
        <v>#DIV/0!</v>
      </c>
      <c r="N30" s="298"/>
      <c r="P30" s="299">
        <f t="shared" si="2"/>
        <v>0</v>
      </c>
    </row>
    <row r="31" spans="1:16" ht="14.1" customHeight="1">
      <c r="A31" s="35">
        <v>31</v>
      </c>
      <c r="B31" s="249" t="s">
        <v>30</v>
      </c>
      <c r="C31" s="293"/>
      <c r="D31" s="434" t="s">
        <v>95</v>
      </c>
      <c r="E31" s="47"/>
      <c r="F31" s="251" t="s">
        <v>121</v>
      </c>
      <c r="G31" s="48" t="s">
        <v>58</v>
      </c>
      <c r="H31" s="237" t="s">
        <v>122</v>
      </c>
      <c r="I31" s="252">
        <v>64.5</v>
      </c>
      <c r="J31" s="295">
        <f t="shared" si="0"/>
        <v>255</v>
      </c>
      <c r="K31" s="296">
        <v>255</v>
      </c>
      <c r="L31" s="212" t="e">
        <f t="shared" si="1"/>
        <v>#DIV/0!</v>
      </c>
      <c r="M31" s="297" t="e">
        <f>IF(K31="nio",0,IF(K31&gt;0,VLOOKUP(G31,'3-Productie normen'!A:L,VLOOKUP(K31,'3-Productie normen'!$B$30:$C$36,2,FALSE),FALSE)))/VLOOKUP(B31,'2-Kosten per locatie'!$A$14:$C$26,3,FALSE)</f>
        <v>#DIV/0!</v>
      </c>
      <c r="N31" s="298"/>
      <c r="P31" s="299">
        <f t="shared" si="2"/>
        <v>16447.5</v>
      </c>
    </row>
    <row r="32" spans="1:16" ht="14.1" customHeight="1">
      <c r="A32" s="35">
        <v>32</v>
      </c>
      <c r="B32" s="249" t="s">
        <v>30</v>
      </c>
      <c r="C32" s="293"/>
      <c r="D32" s="434" t="s">
        <v>95</v>
      </c>
      <c r="E32" s="294"/>
      <c r="F32" s="250" t="s">
        <v>123</v>
      </c>
      <c r="G32" s="276" t="s">
        <v>62</v>
      </c>
      <c r="H32" s="237" t="s">
        <v>122</v>
      </c>
      <c r="I32" s="252">
        <v>6.5</v>
      </c>
      <c r="J32" s="295">
        <f t="shared" si="0"/>
        <v>255</v>
      </c>
      <c r="K32" s="296">
        <v>255</v>
      </c>
      <c r="L32" s="212" t="e">
        <f t="shared" si="1"/>
        <v>#DIV/0!</v>
      </c>
      <c r="M32" s="297" t="e">
        <f>IF(K32="nio",0,IF(K32&gt;0,VLOOKUP(G32,'3-Productie normen'!A:L,VLOOKUP(K32,'3-Productie normen'!$B$30:$C$36,2,FALSE),FALSE)))/VLOOKUP(B32,'2-Kosten per locatie'!$A$14:$C$26,3,FALSE)</f>
        <v>#DIV/0!</v>
      </c>
      <c r="N32" s="298"/>
      <c r="P32" s="299">
        <f t="shared" si="2"/>
        <v>1657.5</v>
      </c>
    </row>
    <row r="33" spans="1:16" ht="14.1" customHeight="1">
      <c r="A33" s="35">
        <v>33</v>
      </c>
      <c r="B33" s="249" t="s">
        <v>30</v>
      </c>
      <c r="C33" s="293"/>
      <c r="D33" s="434" t="s">
        <v>95</v>
      </c>
      <c r="E33" s="294"/>
      <c r="F33" s="250" t="s">
        <v>124</v>
      </c>
      <c r="G33" s="237" t="s">
        <v>64</v>
      </c>
      <c r="H33" s="237" t="s">
        <v>122</v>
      </c>
      <c r="I33" s="252">
        <v>4.8</v>
      </c>
      <c r="J33" s="295">
        <f t="shared" si="0"/>
        <v>255</v>
      </c>
      <c r="K33" s="296">
        <v>255</v>
      </c>
      <c r="L33" s="212" t="e">
        <f t="shared" si="1"/>
        <v>#DIV/0!</v>
      </c>
      <c r="M33" s="297" t="e">
        <f>IF(K33="nio",0,IF(K33&gt;0,VLOOKUP(G33,'3-Productie normen'!A:L,VLOOKUP(K33,'3-Productie normen'!$B$30:$C$36,2,FALSE),FALSE)))/VLOOKUP(B33,'2-Kosten per locatie'!$A$14:$C$26,3,FALSE)</f>
        <v>#DIV/0!</v>
      </c>
      <c r="N33" s="298"/>
      <c r="P33" s="299">
        <f t="shared" si="2"/>
        <v>1224</v>
      </c>
    </row>
    <row r="34" spans="1:16" ht="14.1" customHeight="1">
      <c r="A34" s="35">
        <v>34</v>
      </c>
      <c r="B34" s="249" t="s">
        <v>30</v>
      </c>
      <c r="C34" s="293"/>
      <c r="D34" s="434" t="s">
        <v>95</v>
      </c>
      <c r="E34" s="294"/>
      <c r="F34" s="250" t="s">
        <v>125</v>
      </c>
      <c r="G34" s="237" t="s">
        <v>70</v>
      </c>
      <c r="H34" s="237" t="s">
        <v>122</v>
      </c>
      <c r="I34" s="252">
        <v>2.75</v>
      </c>
      <c r="J34" s="295">
        <f t="shared" si="0"/>
        <v>0</v>
      </c>
      <c r="K34" s="296" t="s">
        <v>385</v>
      </c>
      <c r="L34" s="212">
        <f t="shared" si="1"/>
        <v>0</v>
      </c>
      <c r="M34" s="297" t="e">
        <f>IF(K34="nio",0,IF(K34&gt;0,VLOOKUP(G34,'3-Productie normen'!A:L,VLOOKUP(K34,'3-Productie normen'!$B$30:$C$36,2,FALSE),FALSE)))/VLOOKUP(B34,'2-Kosten per locatie'!$A$14:$C$26,3,FALSE)</f>
        <v>#DIV/0!</v>
      </c>
      <c r="N34" s="298"/>
      <c r="P34" s="299">
        <f t="shared" si="2"/>
        <v>0</v>
      </c>
    </row>
    <row r="35" spans="1:16" ht="14.1" customHeight="1">
      <c r="A35" s="35">
        <v>35</v>
      </c>
      <c r="B35" s="249" t="s">
        <v>30</v>
      </c>
      <c r="C35" s="293"/>
      <c r="D35" s="434" t="s">
        <v>95</v>
      </c>
      <c r="E35" s="294"/>
      <c r="F35" s="250" t="s">
        <v>126</v>
      </c>
      <c r="G35" s="237" t="s">
        <v>59</v>
      </c>
      <c r="H35" s="237" t="s">
        <v>97</v>
      </c>
      <c r="I35" s="252">
        <v>3.75</v>
      </c>
      <c r="J35" s="295">
        <f t="shared" si="0"/>
        <v>255</v>
      </c>
      <c r="K35" s="296">
        <v>255</v>
      </c>
      <c r="L35" s="212" t="e">
        <f t="shared" si="1"/>
        <v>#DIV/0!</v>
      </c>
      <c r="M35" s="297" t="e">
        <f>IF(K35="nio",0,IF(K35&gt;0,VLOOKUP(G35,'3-Productie normen'!A:L,VLOOKUP(K35,'3-Productie normen'!$B$30:$C$36,2,FALSE),FALSE)))/VLOOKUP(B35,'2-Kosten per locatie'!$A$14:$C$26,3,FALSE)</f>
        <v>#DIV/0!</v>
      </c>
      <c r="N35" s="298"/>
      <c r="P35" s="299">
        <f t="shared" si="2"/>
        <v>956.25</v>
      </c>
    </row>
    <row r="36" spans="1:16" ht="14.1" customHeight="1">
      <c r="A36" s="35">
        <v>36</v>
      </c>
      <c r="B36" s="249" t="s">
        <v>30</v>
      </c>
      <c r="C36" s="293"/>
      <c r="D36" s="434" t="s">
        <v>95</v>
      </c>
      <c r="E36" s="294"/>
      <c r="F36" s="250" t="s">
        <v>126</v>
      </c>
      <c r="G36" s="237" t="s">
        <v>59</v>
      </c>
      <c r="H36" s="237" t="s">
        <v>97</v>
      </c>
      <c r="I36" s="252">
        <v>2.4</v>
      </c>
      <c r="J36" s="295">
        <f t="shared" si="0"/>
        <v>255</v>
      </c>
      <c r="K36" s="296">
        <v>255</v>
      </c>
      <c r="L36" s="212" t="e">
        <f t="shared" si="1"/>
        <v>#DIV/0!</v>
      </c>
      <c r="M36" s="297" t="e">
        <f>IF(K36="nio",0,IF(K36&gt;0,VLOOKUP(G36,'3-Productie normen'!A:L,VLOOKUP(K36,'3-Productie normen'!$B$30:$C$36,2,FALSE),FALSE)))/VLOOKUP(B36,'2-Kosten per locatie'!$A$14:$C$26,3,FALSE)</f>
        <v>#DIV/0!</v>
      </c>
      <c r="N36" s="298"/>
      <c r="P36" s="299">
        <f t="shared" si="2"/>
        <v>612</v>
      </c>
    </row>
    <row r="37" spans="1:16" ht="14.1" customHeight="1">
      <c r="A37" s="35">
        <v>37</v>
      </c>
      <c r="B37" s="249" t="s">
        <v>30</v>
      </c>
      <c r="C37" s="293"/>
      <c r="D37" s="434" t="s">
        <v>95</v>
      </c>
      <c r="E37" s="294"/>
      <c r="F37" s="250" t="s">
        <v>127</v>
      </c>
      <c r="G37" s="237" t="s">
        <v>63</v>
      </c>
      <c r="H37" s="237" t="s">
        <v>97</v>
      </c>
      <c r="I37" s="252">
        <v>23.95</v>
      </c>
      <c r="J37" s="295">
        <f t="shared" si="0"/>
        <v>255</v>
      </c>
      <c r="K37" s="296">
        <v>255</v>
      </c>
      <c r="L37" s="212" t="e">
        <f t="shared" si="1"/>
        <v>#DIV/0!</v>
      </c>
      <c r="M37" s="297" t="e">
        <f>IF(K37="nio",0,IF(K37&gt;0,VLOOKUP(G37,'3-Productie normen'!A:L,VLOOKUP(K37,'3-Productie normen'!$B$30:$C$36,2,FALSE),FALSE)))/VLOOKUP(B37,'2-Kosten per locatie'!$A$14:$C$26,3,FALSE)</f>
        <v>#DIV/0!</v>
      </c>
      <c r="N37" s="298"/>
      <c r="P37" s="299">
        <f t="shared" si="2"/>
        <v>6107.25</v>
      </c>
    </row>
    <row r="38" spans="1:16" ht="14.1" customHeight="1">
      <c r="A38" s="35">
        <v>38</v>
      </c>
      <c r="B38" s="249" t="s">
        <v>30</v>
      </c>
      <c r="C38" s="293"/>
      <c r="D38" s="434" t="s">
        <v>95</v>
      </c>
      <c r="E38" s="294"/>
      <c r="F38" s="250" t="s">
        <v>98</v>
      </c>
      <c r="G38" s="237" t="s">
        <v>66</v>
      </c>
      <c r="H38" s="237" t="s">
        <v>128</v>
      </c>
      <c r="I38" s="252">
        <v>4.25</v>
      </c>
      <c r="J38" s="295">
        <f t="shared" si="0"/>
        <v>255</v>
      </c>
      <c r="K38" s="296">
        <v>255</v>
      </c>
      <c r="L38" s="212" t="e">
        <f t="shared" si="1"/>
        <v>#DIV/0!</v>
      </c>
      <c r="M38" s="297" t="e">
        <f>IF(K38="nio",0,IF(K38&gt;0,VLOOKUP(G38,'3-Productie normen'!A:L,VLOOKUP(K38,'3-Productie normen'!$B$30:$C$36,2,FALSE),FALSE)))/VLOOKUP(B38,'2-Kosten per locatie'!$A$14:$C$26,3,FALSE)</f>
        <v>#DIV/0!</v>
      </c>
      <c r="N38" s="298"/>
      <c r="P38" s="299">
        <f t="shared" si="2"/>
        <v>1083.75</v>
      </c>
    </row>
    <row r="39" spans="1:16" ht="14.1" customHeight="1">
      <c r="A39" s="35">
        <v>39</v>
      </c>
      <c r="B39" s="249" t="s">
        <v>30</v>
      </c>
      <c r="C39" s="293"/>
      <c r="D39" s="434" t="s">
        <v>95</v>
      </c>
      <c r="E39" s="294"/>
      <c r="F39" s="250" t="s">
        <v>120</v>
      </c>
      <c r="G39" s="48" t="s">
        <v>60</v>
      </c>
      <c r="H39" s="237" t="s">
        <v>97</v>
      </c>
      <c r="I39" s="252">
        <v>25.5</v>
      </c>
      <c r="J39" s="295">
        <f t="shared" si="0"/>
        <v>255</v>
      </c>
      <c r="K39" s="296">
        <v>255</v>
      </c>
      <c r="L39" s="212" t="e">
        <f t="shared" si="1"/>
        <v>#DIV/0!</v>
      </c>
      <c r="M39" s="297" t="e">
        <f>IF(K39="nio",0,IF(K39&gt;0,VLOOKUP(G39,'3-Productie normen'!A:L,VLOOKUP(K39,'3-Productie normen'!$B$30:$C$36,2,FALSE),FALSE)))/VLOOKUP(B39,'2-Kosten per locatie'!$A$14:$C$26,3,FALSE)</f>
        <v>#DIV/0!</v>
      </c>
      <c r="N39" s="298"/>
      <c r="P39" s="299">
        <f t="shared" si="2"/>
        <v>6502.5</v>
      </c>
    </row>
    <row r="40" spans="1:16" ht="14.1" customHeight="1">
      <c r="A40" s="35">
        <v>40</v>
      </c>
      <c r="B40" s="249" t="s">
        <v>30</v>
      </c>
      <c r="C40" s="293"/>
      <c r="D40" s="434" t="s">
        <v>95</v>
      </c>
      <c r="E40" s="294"/>
      <c r="F40" s="250" t="s">
        <v>129</v>
      </c>
      <c r="G40" s="237" t="s">
        <v>59</v>
      </c>
      <c r="H40" s="237" t="s">
        <v>97</v>
      </c>
      <c r="I40" s="252">
        <v>3.7</v>
      </c>
      <c r="J40" s="295">
        <f t="shared" si="0"/>
        <v>255</v>
      </c>
      <c r="K40" s="296">
        <v>255</v>
      </c>
      <c r="L40" s="212" t="e">
        <f t="shared" si="1"/>
        <v>#DIV/0!</v>
      </c>
      <c r="M40" s="297" t="e">
        <f>IF(K40="nio",0,IF(K40&gt;0,VLOOKUP(G40,'3-Productie normen'!A:L,VLOOKUP(K40,'3-Productie normen'!$B$30:$C$36,2,FALSE),FALSE)))/VLOOKUP(B40,'2-Kosten per locatie'!$A$14:$C$26,3,FALSE)</f>
        <v>#DIV/0!</v>
      </c>
      <c r="N40" s="298"/>
      <c r="P40" s="299">
        <f t="shared" si="2"/>
        <v>943.5</v>
      </c>
    </row>
    <row r="41" spans="1:16" ht="14.1" customHeight="1">
      <c r="A41" s="35">
        <v>41</v>
      </c>
      <c r="B41" s="249" t="s">
        <v>31</v>
      </c>
      <c r="C41" s="293"/>
      <c r="D41" s="434" t="s">
        <v>95</v>
      </c>
      <c r="E41" s="294"/>
      <c r="F41" s="250" t="s">
        <v>98</v>
      </c>
      <c r="G41" s="237" t="s">
        <v>66</v>
      </c>
      <c r="H41" s="237" t="s">
        <v>152</v>
      </c>
      <c r="I41" s="252">
        <v>32.479999999999997</v>
      </c>
      <c r="J41" s="295">
        <f t="shared" si="0"/>
        <v>200</v>
      </c>
      <c r="K41" s="296">
        <v>200</v>
      </c>
      <c r="L41" s="212" t="e">
        <f t="shared" si="1"/>
        <v>#DIV/0!</v>
      </c>
      <c r="M41" s="297" t="e">
        <f>IF(K41="nio",0,IF(K41&gt;0,VLOOKUP(G41,'3-Productie normen'!A:L,VLOOKUP(K41,'3-Productie normen'!$B$30:$C$36,2,FALSE),FALSE)))/VLOOKUP(B41,'2-Kosten per locatie'!$A$14:$C$26,3,FALSE)</f>
        <v>#DIV/0!</v>
      </c>
      <c r="N41" s="298"/>
      <c r="P41" s="299">
        <f t="shared" si="2"/>
        <v>6495.9999999999991</v>
      </c>
    </row>
    <row r="42" spans="1:16" ht="14.1" customHeight="1">
      <c r="A42" s="35">
        <v>42</v>
      </c>
      <c r="B42" s="249" t="s">
        <v>31</v>
      </c>
      <c r="C42" s="293"/>
      <c r="D42" s="434" t="s">
        <v>95</v>
      </c>
      <c r="E42" s="294"/>
      <c r="F42" s="250" t="s">
        <v>119</v>
      </c>
      <c r="G42" s="237" t="s">
        <v>67</v>
      </c>
      <c r="H42" s="237" t="s">
        <v>106</v>
      </c>
      <c r="I42" s="252">
        <v>2.35</v>
      </c>
      <c r="J42" s="295">
        <f t="shared" si="0"/>
        <v>200</v>
      </c>
      <c r="K42" s="296">
        <v>200</v>
      </c>
      <c r="L42" s="212" t="e">
        <f t="shared" si="1"/>
        <v>#DIV/0!</v>
      </c>
      <c r="M42" s="297" t="e">
        <f>IF(K42="nio",0,IF(K42&gt;0,VLOOKUP(G42,'3-Productie normen'!A:L,VLOOKUP(K42,'3-Productie normen'!$B$30:$C$36,2,FALSE),FALSE)))/VLOOKUP(B42,'2-Kosten per locatie'!$A$14:$C$26,3,FALSE)</f>
        <v>#DIV/0!</v>
      </c>
      <c r="N42" s="298"/>
      <c r="P42" s="299">
        <f t="shared" ref="P42:P73" si="3">J42*I42</f>
        <v>470</v>
      </c>
    </row>
    <row r="43" spans="1:16" ht="14.1" customHeight="1">
      <c r="A43" s="35">
        <v>43</v>
      </c>
      <c r="B43" s="249" t="s">
        <v>31</v>
      </c>
      <c r="C43" s="293"/>
      <c r="D43" s="434" t="s">
        <v>95</v>
      </c>
      <c r="E43" s="294"/>
      <c r="F43" s="250" t="s">
        <v>130</v>
      </c>
      <c r="G43" s="237" t="s">
        <v>63</v>
      </c>
      <c r="H43" s="237" t="s">
        <v>152</v>
      </c>
      <c r="I43" s="252">
        <v>68.33</v>
      </c>
      <c r="J43" s="295">
        <f t="shared" si="0"/>
        <v>200</v>
      </c>
      <c r="K43" s="296">
        <v>200</v>
      </c>
      <c r="L43" s="212" t="e">
        <f t="shared" si="1"/>
        <v>#DIV/0!</v>
      </c>
      <c r="M43" s="297" t="e">
        <f>IF(K43="nio",0,IF(K43&gt;0,VLOOKUP(G43,'3-Productie normen'!A:L,VLOOKUP(K43,'3-Productie normen'!$B$30:$C$36,2,FALSE),FALSE)))/VLOOKUP(B43,'2-Kosten per locatie'!$A$14:$C$26,3,FALSE)</f>
        <v>#DIV/0!</v>
      </c>
      <c r="N43" s="298"/>
      <c r="P43" s="299">
        <f t="shared" si="3"/>
        <v>13666</v>
      </c>
    </row>
    <row r="44" spans="1:16" ht="14.1" customHeight="1">
      <c r="A44" s="35">
        <v>44</v>
      </c>
      <c r="B44" s="249" t="s">
        <v>31</v>
      </c>
      <c r="C44" s="293"/>
      <c r="D44" s="434" t="s">
        <v>95</v>
      </c>
      <c r="E44" s="294"/>
      <c r="F44" s="250" t="s">
        <v>130</v>
      </c>
      <c r="G44" s="237" t="s">
        <v>63</v>
      </c>
      <c r="H44" s="237" t="s">
        <v>152</v>
      </c>
      <c r="I44" s="252">
        <v>49.83</v>
      </c>
      <c r="J44" s="295">
        <f t="shared" si="0"/>
        <v>200</v>
      </c>
      <c r="K44" s="296">
        <v>200</v>
      </c>
      <c r="L44" s="212" t="e">
        <f t="shared" si="1"/>
        <v>#DIV/0!</v>
      </c>
      <c r="M44" s="297" t="e">
        <f>IF(K44="nio",0,IF(K44&gt;0,VLOOKUP(G44,'3-Productie normen'!A:L,VLOOKUP(K44,'3-Productie normen'!$B$30:$C$36,2,FALSE),FALSE)))/VLOOKUP(B44,'2-Kosten per locatie'!$A$14:$C$26,3,FALSE)</f>
        <v>#DIV/0!</v>
      </c>
      <c r="N44" s="298"/>
      <c r="P44" s="299">
        <f t="shared" si="3"/>
        <v>9966</v>
      </c>
    </row>
    <row r="45" spans="1:16" ht="14.1" customHeight="1">
      <c r="A45" s="35">
        <v>45</v>
      </c>
      <c r="B45" s="249" t="s">
        <v>31</v>
      </c>
      <c r="C45" s="293"/>
      <c r="D45" s="434" t="s">
        <v>95</v>
      </c>
      <c r="E45" s="294"/>
      <c r="F45" s="250" t="s">
        <v>119</v>
      </c>
      <c r="G45" s="237" t="s">
        <v>67</v>
      </c>
      <c r="H45" s="237" t="s">
        <v>106</v>
      </c>
      <c r="I45" s="252">
        <v>2.17</v>
      </c>
      <c r="J45" s="295">
        <f t="shared" si="0"/>
        <v>200</v>
      </c>
      <c r="K45" s="296">
        <v>200</v>
      </c>
      <c r="L45" s="212" t="e">
        <f t="shared" si="1"/>
        <v>#DIV/0!</v>
      </c>
      <c r="M45" s="297" t="e">
        <f>IF(K45="nio",0,IF(K45&gt;0,VLOOKUP(G45,'3-Productie normen'!A:L,VLOOKUP(K45,'3-Productie normen'!$B$30:$C$36,2,FALSE),FALSE)))/VLOOKUP(B45,'2-Kosten per locatie'!$A$14:$C$26,3,FALSE)</f>
        <v>#DIV/0!</v>
      </c>
      <c r="N45" s="298"/>
      <c r="P45" s="299">
        <f t="shared" si="3"/>
        <v>434</v>
      </c>
    </row>
    <row r="46" spans="1:16" ht="14.1" customHeight="1">
      <c r="A46" s="35">
        <v>46</v>
      </c>
      <c r="B46" s="249" t="s">
        <v>31</v>
      </c>
      <c r="C46" s="293"/>
      <c r="D46" s="434" t="s">
        <v>95</v>
      </c>
      <c r="E46" s="294"/>
      <c r="F46" s="250" t="s">
        <v>131</v>
      </c>
      <c r="G46" s="237" t="s">
        <v>59</v>
      </c>
      <c r="H46" s="237" t="s">
        <v>397</v>
      </c>
      <c r="I46" s="252">
        <v>17.14</v>
      </c>
      <c r="J46" s="295">
        <f t="shared" si="0"/>
        <v>200</v>
      </c>
      <c r="K46" s="296">
        <v>200</v>
      </c>
      <c r="L46" s="212" t="e">
        <f t="shared" si="1"/>
        <v>#DIV/0!</v>
      </c>
      <c r="M46" s="297" t="e">
        <f>IF(K46="nio",0,IF(K46&gt;0,VLOOKUP(G46,'3-Productie normen'!A:L,VLOOKUP(K46,'3-Productie normen'!$B$30:$C$36,2,FALSE),FALSE)))/VLOOKUP(B46,'2-Kosten per locatie'!$A$14:$C$26,3,FALSE)</f>
        <v>#DIV/0!</v>
      </c>
      <c r="N46" s="298"/>
      <c r="P46" s="299">
        <f t="shared" si="3"/>
        <v>3428</v>
      </c>
    </row>
    <row r="47" spans="1:16" ht="14.1" customHeight="1">
      <c r="A47" s="35">
        <v>47</v>
      </c>
      <c r="B47" s="249" t="s">
        <v>31</v>
      </c>
      <c r="C47" s="293"/>
      <c r="D47" s="434" t="s">
        <v>95</v>
      </c>
      <c r="E47" s="294"/>
      <c r="F47" s="250" t="s">
        <v>132</v>
      </c>
      <c r="G47" s="237" t="s">
        <v>59</v>
      </c>
      <c r="H47" s="237" t="s">
        <v>397</v>
      </c>
      <c r="I47" s="252">
        <v>2.58</v>
      </c>
      <c r="J47" s="295">
        <f t="shared" si="0"/>
        <v>200</v>
      </c>
      <c r="K47" s="296">
        <v>200</v>
      </c>
      <c r="L47" s="212" t="e">
        <f t="shared" si="1"/>
        <v>#DIV/0!</v>
      </c>
      <c r="M47" s="297" t="e">
        <f>IF(K47="nio",0,IF(K47&gt;0,VLOOKUP(G47,'3-Productie normen'!A:L,VLOOKUP(K47,'3-Productie normen'!$B$30:$C$36,2,FALSE),FALSE)))/VLOOKUP(B47,'2-Kosten per locatie'!$A$14:$C$26,3,FALSE)</f>
        <v>#DIV/0!</v>
      </c>
      <c r="N47" s="298"/>
      <c r="P47" s="299">
        <f t="shared" si="3"/>
        <v>516</v>
      </c>
    </row>
    <row r="48" spans="1:16" ht="14.1" customHeight="1">
      <c r="A48" s="35">
        <v>48</v>
      </c>
      <c r="B48" s="249" t="s">
        <v>31</v>
      </c>
      <c r="C48" s="293"/>
      <c r="D48" s="434" t="s">
        <v>95</v>
      </c>
      <c r="E48" s="294"/>
      <c r="F48" s="250" t="s">
        <v>133</v>
      </c>
      <c r="G48" s="237" t="s">
        <v>70</v>
      </c>
      <c r="H48" s="237" t="s">
        <v>152</v>
      </c>
      <c r="I48" s="252">
        <v>0.6</v>
      </c>
      <c r="J48" s="295">
        <f t="shared" si="0"/>
        <v>0</v>
      </c>
      <c r="K48" s="296" t="s">
        <v>385</v>
      </c>
      <c r="L48" s="212">
        <f t="shared" si="1"/>
        <v>0</v>
      </c>
      <c r="M48" s="297" t="e">
        <f>IF(K48="nio",0,IF(K48&gt;0,VLOOKUP(G48,'3-Productie normen'!A:L,VLOOKUP(K48,'3-Productie normen'!$B$30:$C$36,2,FALSE),FALSE)))/VLOOKUP(B48,'2-Kosten per locatie'!$A$14:$C$26,3,FALSE)</f>
        <v>#DIV/0!</v>
      </c>
      <c r="N48" s="298"/>
      <c r="P48" s="299">
        <f t="shared" si="3"/>
        <v>0</v>
      </c>
    </row>
    <row r="49" spans="1:16" ht="14.1" customHeight="1">
      <c r="A49" s="35">
        <v>49</v>
      </c>
      <c r="B49" s="249" t="s">
        <v>31</v>
      </c>
      <c r="C49" s="293"/>
      <c r="D49" s="434" t="s">
        <v>95</v>
      </c>
      <c r="E49" s="294"/>
      <c r="F49" s="250" t="s">
        <v>134</v>
      </c>
      <c r="G49" s="237" t="s">
        <v>70</v>
      </c>
      <c r="H49" s="237" t="s">
        <v>398</v>
      </c>
      <c r="I49" s="252">
        <v>12.92</v>
      </c>
      <c r="J49" s="295">
        <f t="shared" si="0"/>
        <v>0</v>
      </c>
      <c r="K49" s="296" t="s">
        <v>385</v>
      </c>
      <c r="L49" s="212">
        <f t="shared" si="1"/>
        <v>0</v>
      </c>
      <c r="M49" s="297" t="e">
        <f>IF(K49="nio",0,IF(K49&gt;0,VLOOKUP(G49,'3-Productie normen'!A:L,VLOOKUP(K49,'3-Productie normen'!$B$30:$C$36,2,FALSE),FALSE)))/VLOOKUP(B49,'2-Kosten per locatie'!$A$14:$C$26,3,FALSE)</f>
        <v>#DIV/0!</v>
      </c>
      <c r="N49" s="298"/>
      <c r="P49" s="299">
        <f t="shared" si="3"/>
        <v>0</v>
      </c>
    </row>
    <row r="50" spans="1:16" ht="14.1" customHeight="1">
      <c r="A50" s="35">
        <v>50</v>
      </c>
      <c r="B50" s="249" t="s">
        <v>31</v>
      </c>
      <c r="C50" s="293"/>
      <c r="D50" s="434" t="s">
        <v>110</v>
      </c>
      <c r="E50" s="294"/>
      <c r="F50" s="250" t="s">
        <v>119</v>
      </c>
      <c r="G50" s="237" t="s">
        <v>67</v>
      </c>
      <c r="H50" s="237" t="s">
        <v>106</v>
      </c>
      <c r="I50" s="252">
        <v>5.17</v>
      </c>
      <c r="J50" s="295">
        <f t="shared" si="0"/>
        <v>200</v>
      </c>
      <c r="K50" s="296">
        <v>200</v>
      </c>
      <c r="L50" s="212" t="e">
        <f t="shared" si="1"/>
        <v>#DIV/0!</v>
      </c>
      <c r="M50" s="297" t="e">
        <f>IF(K50="nio",0,IF(K50&gt;0,VLOOKUP(G50,'3-Productie normen'!A:L,VLOOKUP(K50,'3-Productie normen'!$B$30:$C$36,2,FALSE),FALSE)))/VLOOKUP(B50,'2-Kosten per locatie'!$A$14:$C$26,3,FALSE)</f>
        <v>#DIV/0!</v>
      </c>
      <c r="N50" s="298"/>
      <c r="P50" s="299">
        <f t="shared" si="3"/>
        <v>1034</v>
      </c>
    </row>
    <row r="51" spans="1:16" ht="14.1" customHeight="1">
      <c r="A51" s="35">
        <v>51</v>
      </c>
      <c r="B51" s="249" t="s">
        <v>31</v>
      </c>
      <c r="C51" s="293"/>
      <c r="D51" s="434" t="s">
        <v>110</v>
      </c>
      <c r="E51" s="294"/>
      <c r="F51" s="250" t="s">
        <v>135</v>
      </c>
      <c r="G51" s="237" t="s">
        <v>60</v>
      </c>
      <c r="H51" s="237" t="s">
        <v>383</v>
      </c>
      <c r="I51" s="252">
        <v>8.14</v>
      </c>
      <c r="J51" s="295">
        <f t="shared" si="0"/>
        <v>200</v>
      </c>
      <c r="K51" s="296">
        <v>200</v>
      </c>
      <c r="L51" s="212" t="e">
        <f t="shared" si="1"/>
        <v>#DIV/0!</v>
      </c>
      <c r="M51" s="297" t="e">
        <f>IF(K51="nio",0,IF(K51&gt;0,VLOOKUP(G51,'3-Productie normen'!A:L,VLOOKUP(K51,'3-Productie normen'!$B$30:$C$36,2,FALSE),FALSE)))/VLOOKUP(B51,'2-Kosten per locatie'!$A$14:$C$26,3,FALSE)</f>
        <v>#DIV/0!</v>
      </c>
      <c r="N51" s="298"/>
      <c r="P51" s="299">
        <f t="shared" si="3"/>
        <v>1628</v>
      </c>
    </row>
    <row r="52" spans="1:16" ht="14.1" customHeight="1">
      <c r="A52" s="35">
        <v>52</v>
      </c>
      <c r="B52" s="249" t="s">
        <v>31</v>
      </c>
      <c r="C52" s="293"/>
      <c r="D52" s="434" t="s">
        <v>110</v>
      </c>
      <c r="E52" s="294"/>
      <c r="F52" s="250" t="s">
        <v>130</v>
      </c>
      <c r="G52" s="237" t="s">
        <v>63</v>
      </c>
      <c r="H52" s="237" t="s">
        <v>383</v>
      </c>
      <c r="I52" s="252">
        <v>35.799999999999997</v>
      </c>
      <c r="J52" s="295">
        <f t="shared" si="0"/>
        <v>200</v>
      </c>
      <c r="K52" s="296">
        <v>200</v>
      </c>
      <c r="L52" s="212" t="e">
        <f t="shared" si="1"/>
        <v>#DIV/0!</v>
      </c>
      <c r="M52" s="297" t="e">
        <f>IF(K52="nio",0,IF(K52&gt;0,VLOOKUP(G52,'3-Productie normen'!A:L,VLOOKUP(K52,'3-Productie normen'!$B$30:$C$36,2,FALSE),FALSE)))/VLOOKUP(B52,'2-Kosten per locatie'!$A$14:$C$26,3,FALSE)</f>
        <v>#DIV/0!</v>
      </c>
      <c r="N52" s="298"/>
      <c r="P52" s="299">
        <f t="shared" si="3"/>
        <v>7159.9999999999991</v>
      </c>
    </row>
    <row r="53" spans="1:16" ht="14.1" customHeight="1">
      <c r="A53" s="35">
        <v>53</v>
      </c>
      <c r="B53" s="249" t="s">
        <v>31</v>
      </c>
      <c r="C53" s="293"/>
      <c r="D53" s="434" t="s">
        <v>110</v>
      </c>
      <c r="E53" s="294"/>
      <c r="F53" s="250" t="s">
        <v>134</v>
      </c>
      <c r="G53" s="237" t="s">
        <v>70</v>
      </c>
      <c r="H53" s="300" t="s">
        <v>383</v>
      </c>
      <c r="I53" s="252">
        <v>5</v>
      </c>
      <c r="J53" s="295">
        <f t="shared" si="0"/>
        <v>0</v>
      </c>
      <c r="K53" s="296" t="s">
        <v>385</v>
      </c>
      <c r="L53" s="212">
        <f t="shared" si="1"/>
        <v>0</v>
      </c>
      <c r="M53" s="297" t="e">
        <f>IF(K53="nio",0,IF(K53&gt;0,VLOOKUP(G53,'3-Productie normen'!A:L,VLOOKUP(K53,'3-Productie normen'!$B$30:$C$36,2,FALSE),FALSE)))/VLOOKUP(B53,'2-Kosten per locatie'!$A$14:$C$26,3,FALSE)</f>
        <v>#DIV/0!</v>
      </c>
      <c r="N53" s="298"/>
      <c r="P53" s="299">
        <f t="shared" si="3"/>
        <v>0</v>
      </c>
    </row>
    <row r="54" spans="1:16" ht="14.1" customHeight="1">
      <c r="A54" s="35">
        <v>54</v>
      </c>
      <c r="B54" s="249" t="s">
        <v>31</v>
      </c>
      <c r="C54" s="293"/>
      <c r="D54" s="434" t="s">
        <v>110</v>
      </c>
      <c r="E54" s="47"/>
      <c r="F54" s="250" t="s">
        <v>136</v>
      </c>
      <c r="G54" s="237" t="s">
        <v>67</v>
      </c>
      <c r="H54" s="237" t="s">
        <v>106</v>
      </c>
      <c r="I54" s="252">
        <v>2.54</v>
      </c>
      <c r="J54" s="295">
        <f t="shared" si="0"/>
        <v>200</v>
      </c>
      <c r="K54" s="296">
        <v>200</v>
      </c>
      <c r="L54" s="212" t="e">
        <f t="shared" si="1"/>
        <v>#DIV/0!</v>
      </c>
      <c r="M54" s="297" t="e">
        <f>IF(K54="nio",0,IF(K54&gt;0,VLOOKUP(G54,'3-Productie normen'!A:L,VLOOKUP(K54,'3-Productie normen'!$B$30:$C$36,2,FALSE),FALSE)))/VLOOKUP(B54,'2-Kosten per locatie'!$A$14:$C$26,3,FALSE)</f>
        <v>#DIV/0!</v>
      </c>
      <c r="N54" s="298"/>
      <c r="P54" s="299">
        <f t="shared" si="3"/>
        <v>508</v>
      </c>
    </row>
    <row r="55" spans="1:16" ht="14.1" customHeight="1">
      <c r="A55" s="35">
        <v>55</v>
      </c>
      <c r="B55" s="249" t="s">
        <v>31</v>
      </c>
      <c r="C55" s="293"/>
      <c r="D55" s="434" t="s">
        <v>110</v>
      </c>
      <c r="E55" s="294"/>
      <c r="F55" s="250" t="s">
        <v>134</v>
      </c>
      <c r="G55" s="237" t="s">
        <v>70</v>
      </c>
      <c r="H55" s="237" t="s">
        <v>383</v>
      </c>
      <c r="I55" s="252">
        <v>19.71</v>
      </c>
      <c r="J55" s="295">
        <f t="shared" si="0"/>
        <v>0</v>
      </c>
      <c r="K55" s="296" t="s">
        <v>385</v>
      </c>
      <c r="L55" s="212">
        <f t="shared" si="1"/>
        <v>0</v>
      </c>
      <c r="M55" s="297" t="e">
        <f>IF(K55="nio",0,IF(K55&gt;0,VLOOKUP(G55,'3-Productie normen'!A:L,VLOOKUP(K55,'3-Productie normen'!$B$30:$C$36,2,FALSE),FALSE)))/VLOOKUP(B55,'2-Kosten per locatie'!$A$14:$C$26,3,FALSE)</f>
        <v>#DIV/0!</v>
      </c>
      <c r="N55" s="298"/>
      <c r="P55" s="299">
        <f t="shared" si="3"/>
        <v>0</v>
      </c>
    </row>
    <row r="56" spans="1:16" ht="14.1" customHeight="1">
      <c r="A56" s="35">
        <v>56</v>
      </c>
      <c r="B56" s="249" t="s">
        <v>32</v>
      </c>
      <c r="C56" s="293"/>
      <c r="D56" s="434" t="s">
        <v>95</v>
      </c>
      <c r="E56" s="294"/>
      <c r="F56" s="250" t="s">
        <v>130</v>
      </c>
      <c r="G56" s="237" t="s">
        <v>63</v>
      </c>
      <c r="H56" s="237" t="s">
        <v>144</v>
      </c>
      <c r="I56" s="252">
        <v>115.56</v>
      </c>
      <c r="J56" s="295">
        <f t="shared" si="0"/>
        <v>255</v>
      </c>
      <c r="K56" s="296">
        <v>255</v>
      </c>
      <c r="L56" s="212" t="e">
        <f t="shared" si="1"/>
        <v>#DIV/0!</v>
      </c>
      <c r="M56" s="297" t="e">
        <f>IF(K56="nio",0,IF(K56&gt;0,VLOOKUP(G56,'3-Productie normen'!A:L,VLOOKUP(K56,'3-Productie normen'!$B$30:$C$36,2,FALSE),FALSE)))/VLOOKUP(B56,'2-Kosten per locatie'!$A$14:$C$26,3,FALSE)</f>
        <v>#DIV/0!</v>
      </c>
      <c r="N56" s="298"/>
      <c r="P56" s="299">
        <f t="shared" si="3"/>
        <v>29467.8</v>
      </c>
    </row>
    <row r="57" spans="1:16" ht="14.1" customHeight="1">
      <c r="A57" s="35">
        <v>57</v>
      </c>
      <c r="B57" s="249" t="s">
        <v>32</v>
      </c>
      <c r="C57" s="293"/>
      <c r="D57" s="434" t="s">
        <v>95</v>
      </c>
      <c r="E57" s="294"/>
      <c r="F57" s="250" t="s">
        <v>130</v>
      </c>
      <c r="G57" s="237" t="s">
        <v>63</v>
      </c>
      <c r="H57" s="237" t="s">
        <v>144</v>
      </c>
      <c r="I57" s="252">
        <v>10.97</v>
      </c>
      <c r="J57" s="295">
        <f t="shared" si="0"/>
        <v>255</v>
      </c>
      <c r="K57" s="296">
        <v>255</v>
      </c>
      <c r="L57" s="212" t="e">
        <f t="shared" si="1"/>
        <v>#DIV/0!</v>
      </c>
      <c r="M57" s="297" t="e">
        <f>IF(K57="nio",0,IF(K57&gt;0,VLOOKUP(G57,'3-Productie normen'!A:L,VLOOKUP(K57,'3-Productie normen'!$B$30:$C$36,2,FALSE),FALSE)))/VLOOKUP(B57,'2-Kosten per locatie'!$A$14:$C$26,3,FALSE)</f>
        <v>#DIV/0!</v>
      </c>
      <c r="N57" s="298"/>
      <c r="P57" s="299">
        <f t="shared" si="3"/>
        <v>2797.3500000000004</v>
      </c>
    </row>
    <row r="58" spans="1:16" ht="14.1" customHeight="1">
      <c r="A58" s="35">
        <v>58</v>
      </c>
      <c r="B58" s="249" t="s">
        <v>32</v>
      </c>
      <c r="C58" s="293"/>
      <c r="D58" s="434" t="s">
        <v>95</v>
      </c>
      <c r="E58" s="294"/>
      <c r="F58" s="250" t="s">
        <v>137</v>
      </c>
      <c r="G58" s="237" t="s">
        <v>66</v>
      </c>
      <c r="H58" s="237" t="s">
        <v>144</v>
      </c>
      <c r="I58" s="252">
        <v>1.86</v>
      </c>
      <c r="J58" s="295">
        <f t="shared" si="0"/>
        <v>255</v>
      </c>
      <c r="K58" s="296">
        <v>255</v>
      </c>
      <c r="L58" s="212" t="e">
        <f t="shared" si="1"/>
        <v>#DIV/0!</v>
      </c>
      <c r="M58" s="297" t="e">
        <f>IF(K58="nio",0,IF(K58&gt;0,VLOOKUP(G58,'3-Productie normen'!A:L,VLOOKUP(K58,'3-Productie normen'!$B$30:$C$36,2,FALSE),FALSE)))/VLOOKUP(B58,'2-Kosten per locatie'!$A$14:$C$26,3,FALSE)</f>
        <v>#DIV/0!</v>
      </c>
      <c r="N58" s="298"/>
      <c r="P58" s="299">
        <f t="shared" si="3"/>
        <v>474.3</v>
      </c>
    </row>
    <row r="59" spans="1:16" ht="14.1" customHeight="1">
      <c r="A59" s="35">
        <v>59</v>
      </c>
      <c r="B59" s="249" t="s">
        <v>32</v>
      </c>
      <c r="C59" s="293"/>
      <c r="D59" s="434" t="s">
        <v>95</v>
      </c>
      <c r="E59" s="294"/>
      <c r="F59" s="250" t="s">
        <v>138</v>
      </c>
      <c r="G59" s="237" t="s">
        <v>59</v>
      </c>
      <c r="H59" s="237" t="s">
        <v>397</v>
      </c>
      <c r="I59" s="252">
        <v>4.03</v>
      </c>
      <c r="J59" s="295">
        <f t="shared" si="0"/>
        <v>255</v>
      </c>
      <c r="K59" s="296">
        <v>255</v>
      </c>
      <c r="L59" s="212" t="e">
        <f t="shared" si="1"/>
        <v>#DIV/0!</v>
      </c>
      <c r="M59" s="297" t="e">
        <f>IF(K59="nio",0,IF(K59&gt;0,VLOOKUP(G59,'3-Productie normen'!A:L,VLOOKUP(K59,'3-Productie normen'!$B$30:$C$36,2,FALSE),FALSE)))/VLOOKUP(B59,'2-Kosten per locatie'!$A$14:$C$26,3,FALSE)</f>
        <v>#DIV/0!</v>
      </c>
      <c r="N59" s="298"/>
      <c r="P59" s="299">
        <f t="shared" si="3"/>
        <v>1027.6500000000001</v>
      </c>
    </row>
    <row r="60" spans="1:16" ht="14.1" customHeight="1">
      <c r="A60" s="35">
        <v>60</v>
      </c>
      <c r="B60" s="249" t="s">
        <v>33</v>
      </c>
      <c r="C60" s="293"/>
      <c r="D60" s="434" t="s">
        <v>95</v>
      </c>
      <c r="E60" s="294"/>
      <c r="F60" s="250" t="s">
        <v>130</v>
      </c>
      <c r="G60" s="237" t="s">
        <v>63</v>
      </c>
      <c r="H60" s="237" t="s">
        <v>396</v>
      </c>
      <c r="I60" s="252">
        <v>46.48</v>
      </c>
      <c r="J60" s="295">
        <f t="shared" si="0"/>
        <v>255</v>
      </c>
      <c r="K60" s="296">
        <v>255</v>
      </c>
      <c r="L60" s="212" t="e">
        <f t="shared" si="1"/>
        <v>#DIV/0!</v>
      </c>
      <c r="M60" s="297" t="e">
        <f>IF(K60="nio",0,IF(K60&gt;0,VLOOKUP(G60,'3-Productie normen'!A:L,VLOOKUP(K60,'3-Productie normen'!$B$30:$C$36,2,FALSE),FALSE)))/VLOOKUP(B60,'2-Kosten per locatie'!$A$14:$C$26,3,FALSE)</f>
        <v>#DIV/0!</v>
      </c>
      <c r="N60" s="298"/>
      <c r="P60" s="299">
        <f t="shared" si="3"/>
        <v>11852.4</v>
      </c>
    </row>
    <row r="61" spans="1:16" ht="14.1" customHeight="1">
      <c r="A61" s="35">
        <v>61</v>
      </c>
      <c r="B61" s="249" t="s">
        <v>34</v>
      </c>
      <c r="C61" s="293"/>
      <c r="D61" s="434" t="s">
        <v>95</v>
      </c>
      <c r="E61" s="294"/>
      <c r="F61" s="250" t="s">
        <v>98</v>
      </c>
      <c r="G61" s="237" t="s">
        <v>66</v>
      </c>
      <c r="H61" s="237" t="s">
        <v>128</v>
      </c>
      <c r="I61" s="252">
        <v>4.4000000000000004</v>
      </c>
      <c r="J61" s="295">
        <f t="shared" si="0"/>
        <v>255</v>
      </c>
      <c r="K61" s="296">
        <v>255</v>
      </c>
      <c r="L61" s="212" t="e">
        <f t="shared" si="1"/>
        <v>#DIV/0!</v>
      </c>
      <c r="M61" s="297" t="e">
        <f>IF(K61="nio",0,IF(K61&gt;0,VLOOKUP(G61,'3-Productie normen'!A:L,VLOOKUP(K61,'3-Productie normen'!$B$30:$C$36,2,FALSE),FALSE)))/VLOOKUP(B61,'2-Kosten per locatie'!$A$14:$C$26,3,FALSE)</f>
        <v>#DIV/0!</v>
      </c>
      <c r="N61" s="298"/>
      <c r="P61" s="299">
        <f t="shared" si="3"/>
        <v>1122</v>
      </c>
    </row>
    <row r="62" spans="1:16" ht="14.1" customHeight="1">
      <c r="A62" s="35">
        <v>62</v>
      </c>
      <c r="B62" s="249" t="s">
        <v>34</v>
      </c>
      <c r="C62" s="293"/>
      <c r="D62" s="434" t="s">
        <v>95</v>
      </c>
      <c r="E62" s="294"/>
      <c r="F62" s="250" t="s">
        <v>139</v>
      </c>
      <c r="G62" s="276" t="s">
        <v>58</v>
      </c>
      <c r="H62" s="237" t="s">
        <v>112</v>
      </c>
      <c r="I62" s="252">
        <v>20</v>
      </c>
      <c r="J62" s="295">
        <f t="shared" si="0"/>
        <v>255</v>
      </c>
      <c r="K62" s="296">
        <v>255</v>
      </c>
      <c r="L62" s="212" t="e">
        <f t="shared" si="1"/>
        <v>#DIV/0!</v>
      </c>
      <c r="M62" s="297" t="e">
        <f>IF(K62="nio",0,IF(K62&gt;0,VLOOKUP(G62,'3-Productie normen'!A:L,VLOOKUP(K62,'3-Productie normen'!$B$30:$C$36,2,FALSE),FALSE)))/VLOOKUP(B62,'2-Kosten per locatie'!$A$14:$C$26,3,FALSE)</f>
        <v>#DIV/0!</v>
      </c>
      <c r="N62" s="298"/>
      <c r="P62" s="299">
        <f t="shared" si="3"/>
        <v>5100</v>
      </c>
    </row>
    <row r="63" spans="1:16" ht="14.1" customHeight="1">
      <c r="A63" s="35">
        <v>63</v>
      </c>
      <c r="B63" s="249" t="s">
        <v>34</v>
      </c>
      <c r="C63" s="293"/>
      <c r="D63" s="434" t="s">
        <v>95</v>
      </c>
      <c r="E63" s="294"/>
      <c r="F63" s="250" t="s">
        <v>140</v>
      </c>
      <c r="G63" s="276" t="s">
        <v>58</v>
      </c>
      <c r="H63" s="237" t="s">
        <v>112</v>
      </c>
      <c r="I63" s="252">
        <v>34</v>
      </c>
      <c r="J63" s="295">
        <f t="shared" si="0"/>
        <v>255</v>
      </c>
      <c r="K63" s="296">
        <v>255</v>
      </c>
      <c r="L63" s="212" t="e">
        <f t="shared" si="1"/>
        <v>#DIV/0!</v>
      </c>
      <c r="M63" s="297" t="e">
        <f>IF(K63="nio",0,IF(K63&gt;0,VLOOKUP(G63,'3-Productie normen'!A:L,VLOOKUP(K63,'3-Productie normen'!$B$30:$C$36,2,FALSE),FALSE)))/VLOOKUP(B63,'2-Kosten per locatie'!$A$14:$C$26,3,FALSE)</f>
        <v>#DIV/0!</v>
      </c>
      <c r="N63" s="298"/>
      <c r="P63" s="299">
        <f t="shared" si="3"/>
        <v>8670</v>
      </c>
    </row>
    <row r="64" spans="1:16" ht="14.1" customHeight="1">
      <c r="A64" s="35">
        <v>64</v>
      </c>
      <c r="B64" s="249" t="s">
        <v>34</v>
      </c>
      <c r="C64" s="293"/>
      <c r="D64" s="434" t="s">
        <v>95</v>
      </c>
      <c r="E64" s="294"/>
      <c r="F64" s="250" t="s">
        <v>141</v>
      </c>
      <c r="G64" s="276" t="s">
        <v>58</v>
      </c>
      <c r="H64" s="237" t="s">
        <v>112</v>
      </c>
      <c r="I64" s="252">
        <v>21</v>
      </c>
      <c r="J64" s="295">
        <f t="shared" si="0"/>
        <v>255</v>
      </c>
      <c r="K64" s="296">
        <v>255</v>
      </c>
      <c r="L64" s="212" t="e">
        <f t="shared" si="1"/>
        <v>#DIV/0!</v>
      </c>
      <c r="M64" s="297" t="e">
        <f>IF(K64="nio",0,IF(K64&gt;0,VLOOKUP(G64,'3-Productie normen'!A:L,VLOOKUP(K64,'3-Productie normen'!$B$30:$C$36,2,FALSE),FALSE)))/VLOOKUP(B64,'2-Kosten per locatie'!$A$14:$C$26,3,FALSE)</f>
        <v>#DIV/0!</v>
      </c>
      <c r="N64" s="298"/>
      <c r="P64" s="299">
        <f t="shared" si="3"/>
        <v>5355</v>
      </c>
    </row>
    <row r="65" spans="1:16" ht="14.1" customHeight="1">
      <c r="A65" s="35">
        <v>65</v>
      </c>
      <c r="B65" s="249" t="s">
        <v>34</v>
      </c>
      <c r="C65" s="293"/>
      <c r="D65" s="434" t="s">
        <v>95</v>
      </c>
      <c r="E65" s="294"/>
      <c r="F65" s="250" t="s">
        <v>116</v>
      </c>
      <c r="G65" s="48" t="s">
        <v>60</v>
      </c>
      <c r="H65" s="237" t="s">
        <v>112</v>
      </c>
      <c r="I65" s="252">
        <v>14.8</v>
      </c>
      <c r="J65" s="295">
        <f t="shared" si="0"/>
        <v>255</v>
      </c>
      <c r="K65" s="296">
        <v>255</v>
      </c>
      <c r="L65" s="212" t="e">
        <f t="shared" si="1"/>
        <v>#DIV/0!</v>
      </c>
      <c r="M65" s="297" t="e">
        <f>IF(K65="nio",0,IF(K65&gt;0,VLOOKUP(G65,'3-Productie normen'!A:L,VLOOKUP(K65,'3-Productie normen'!$B$30:$C$36,2,FALSE),FALSE)))/VLOOKUP(B65,'2-Kosten per locatie'!$A$14:$C$26,3,FALSE)</f>
        <v>#DIV/0!</v>
      </c>
      <c r="N65" s="298"/>
      <c r="P65" s="299">
        <f t="shared" si="3"/>
        <v>3774</v>
      </c>
    </row>
    <row r="66" spans="1:16" ht="14.1" customHeight="1">
      <c r="A66" s="35">
        <v>66</v>
      </c>
      <c r="B66" s="425" t="s">
        <v>34</v>
      </c>
      <c r="C66" s="293"/>
      <c r="D66" s="434" t="s">
        <v>95</v>
      </c>
      <c r="E66" s="294"/>
      <c r="F66" s="250" t="s">
        <v>142</v>
      </c>
      <c r="G66" s="237" t="s">
        <v>64</v>
      </c>
      <c r="H66" s="237" t="s">
        <v>112</v>
      </c>
      <c r="I66" s="252">
        <v>5.3</v>
      </c>
      <c r="J66" s="295">
        <f t="shared" si="0"/>
        <v>255</v>
      </c>
      <c r="K66" s="296">
        <v>255</v>
      </c>
      <c r="L66" s="212" t="e">
        <f t="shared" si="1"/>
        <v>#DIV/0!</v>
      </c>
      <c r="M66" s="297" t="e">
        <f>IF(K66="nio",0,IF(K66&gt;0,VLOOKUP(G66,'3-Productie normen'!A:L,VLOOKUP(K66,'3-Productie normen'!$B$30:$C$36,2,FALSE),FALSE)))/VLOOKUP(B66,'2-Kosten per locatie'!$A$14:$C$26,3,FALSE)</f>
        <v>#DIV/0!</v>
      </c>
      <c r="N66" s="298"/>
      <c r="P66" s="299">
        <f t="shared" si="3"/>
        <v>1351.5</v>
      </c>
    </row>
    <row r="67" spans="1:16" ht="14.1" customHeight="1">
      <c r="A67" s="35">
        <v>67</v>
      </c>
      <c r="B67" s="249" t="s">
        <v>34</v>
      </c>
      <c r="C67" s="293"/>
      <c r="D67" s="434" t="s">
        <v>95</v>
      </c>
      <c r="E67" s="294"/>
      <c r="F67" s="250" t="s">
        <v>143</v>
      </c>
      <c r="G67" s="237" t="s">
        <v>70</v>
      </c>
      <c r="H67" s="237" t="s">
        <v>144</v>
      </c>
      <c r="I67" s="252">
        <v>20</v>
      </c>
      <c r="J67" s="295">
        <f t="shared" si="0"/>
        <v>0</v>
      </c>
      <c r="K67" s="296" t="s">
        <v>385</v>
      </c>
      <c r="L67" s="212">
        <f t="shared" si="1"/>
        <v>0</v>
      </c>
      <c r="M67" s="297" t="e">
        <f>IF(K67="nio",0,IF(K67&gt;0,VLOOKUP(G67,'3-Productie normen'!A:L,VLOOKUP(K67,'3-Productie normen'!$B$30:$C$36,2,FALSE),FALSE)))/VLOOKUP(B67,'2-Kosten per locatie'!$A$14:$C$26,3,FALSE)</f>
        <v>#DIV/0!</v>
      </c>
      <c r="N67" s="298"/>
      <c r="P67" s="299">
        <f t="shared" si="3"/>
        <v>0</v>
      </c>
    </row>
    <row r="68" spans="1:16" ht="14.1" customHeight="1">
      <c r="A68" s="35">
        <v>68</v>
      </c>
      <c r="B68" s="249" t="s">
        <v>34</v>
      </c>
      <c r="C68" s="293"/>
      <c r="D68" s="434" t="s">
        <v>95</v>
      </c>
      <c r="E68" s="294"/>
      <c r="F68" s="250" t="s">
        <v>126</v>
      </c>
      <c r="G68" s="237" t="s">
        <v>59</v>
      </c>
      <c r="H68" s="237" t="s">
        <v>144</v>
      </c>
      <c r="I68" s="252">
        <v>4.2</v>
      </c>
      <c r="J68" s="295">
        <f t="shared" si="0"/>
        <v>255</v>
      </c>
      <c r="K68" s="296">
        <v>255</v>
      </c>
      <c r="L68" s="212" t="e">
        <f t="shared" si="1"/>
        <v>#DIV/0!</v>
      </c>
      <c r="M68" s="297" t="e">
        <f>IF(K68="nio",0,IF(K68&gt;0,VLOOKUP(G68,'3-Productie normen'!A:L,VLOOKUP(K68,'3-Productie normen'!$B$30:$C$36,2,FALSE),FALSE)))/VLOOKUP(B68,'2-Kosten per locatie'!$A$14:$C$26,3,FALSE)</f>
        <v>#DIV/0!</v>
      </c>
      <c r="N68" s="298"/>
      <c r="P68" s="299">
        <f t="shared" si="3"/>
        <v>1071</v>
      </c>
    </row>
    <row r="69" spans="1:16" ht="14.1" customHeight="1">
      <c r="A69" s="35">
        <v>69</v>
      </c>
      <c r="B69" s="249" t="s">
        <v>34</v>
      </c>
      <c r="C69" s="293"/>
      <c r="D69" s="434" t="s">
        <v>95</v>
      </c>
      <c r="E69" s="294"/>
      <c r="F69" s="250" t="s">
        <v>115</v>
      </c>
      <c r="G69" s="276" t="s">
        <v>69</v>
      </c>
      <c r="H69" s="237" t="s">
        <v>144</v>
      </c>
      <c r="I69" s="252">
        <v>3.8</v>
      </c>
      <c r="J69" s="295">
        <f t="shared" si="0"/>
        <v>255</v>
      </c>
      <c r="K69" s="296">
        <v>255</v>
      </c>
      <c r="L69" s="212" t="e">
        <f t="shared" si="1"/>
        <v>#DIV/0!</v>
      </c>
      <c r="M69" s="297" t="e">
        <f>IF(K69="nio",0,IF(K69&gt;0,VLOOKUP(G69,'3-Productie normen'!A:L,VLOOKUP(K69,'3-Productie normen'!$B$30:$C$36,2,FALSE),FALSE)))/VLOOKUP(B69,'2-Kosten per locatie'!$A$14:$C$26,3,FALSE)</f>
        <v>#DIV/0!</v>
      </c>
      <c r="N69" s="298"/>
      <c r="P69" s="299">
        <f t="shared" si="3"/>
        <v>969</v>
      </c>
    </row>
    <row r="70" spans="1:16" ht="14.1" customHeight="1">
      <c r="A70" s="35">
        <v>70</v>
      </c>
      <c r="B70" s="425" t="s">
        <v>34</v>
      </c>
      <c r="C70" s="293"/>
      <c r="D70" s="434" t="s">
        <v>95</v>
      </c>
      <c r="E70" s="294"/>
      <c r="F70" s="250" t="s">
        <v>117</v>
      </c>
      <c r="G70" s="237" t="s">
        <v>61</v>
      </c>
      <c r="H70" s="237" t="s">
        <v>112</v>
      </c>
      <c r="I70" s="252">
        <v>83</v>
      </c>
      <c r="J70" s="295">
        <f t="shared" si="0"/>
        <v>255</v>
      </c>
      <c r="K70" s="296">
        <v>255</v>
      </c>
      <c r="L70" s="212" t="e">
        <f t="shared" si="1"/>
        <v>#DIV/0!</v>
      </c>
      <c r="M70" s="297" t="e">
        <f>IF(K70="nio",0,IF(K70&gt;0,VLOOKUP(G70,'3-Productie normen'!A:L,VLOOKUP(K70,'3-Productie normen'!$B$30:$C$36,2,FALSE),FALSE)))/VLOOKUP(B70,'2-Kosten per locatie'!$A$14:$C$26,3,FALSE)</f>
        <v>#DIV/0!</v>
      </c>
      <c r="N70" s="298"/>
      <c r="P70" s="299">
        <f t="shared" si="3"/>
        <v>21165</v>
      </c>
    </row>
    <row r="71" spans="1:16" ht="14.1" customHeight="1">
      <c r="A71" s="35">
        <v>71</v>
      </c>
      <c r="B71" s="425" t="s">
        <v>34</v>
      </c>
      <c r="C71" s="293"/>
      <c r="D71" s="434" t="s">
        <v>95</v>
      </c>
      <c r="E71" s="294"/>
      <c r="F71" s="250" t="s">
        <v>145</v>
      </c>
      <c r="G71" s="237" t="s">
        <v>61</v>
      </c>
      <c r="H71" s="237" t="s">
        <v>112</v>
      </c>
      <c r="I71" s="252">
        <v>14.5</v>
      </c>
      <c r="J71" s="295">
        <f t="shared" si="0"/>
        <v>255</v>
      </c>
      <c r="K71" s="296">
        <v>255</v>
      </c>
      <c r="L71" s="212" t="e">
        <f t="shared" si="1"/>
        <v>#DIV/0!</v>
      </c>
      <c r="M71" s="297" t="e">
        <f>IF(K71="nio",0,IF(K71&gt;0,VLOOKUP(G71,'3-Productie normen'!A:L,VLOOKUP(K71,'3-Productie normen'!$B$30:$C$36,2,FALSE),FALSE)))/VLOOKUP(B71,'2-Kosten per locatie'!$A$14:$C$26,3,FALSE)</f>
        <v>#DIV/0!</v>
      </c>
      <c r="N71" s="298"/>
      <c r="P71" s="299">
        <f t="shared" si="3"/>
        <v>3697.5</v>
      </c>
    </row>
    <row r="72" spans="1:16" ht="14.1" customHeight="1">
      <c r="A72" s="35">
        <v>72</v>
      </c>
      <c r="B72" s="249" t="s">
        <v>34</v>
      </c>
      <c r="C72" s="293"/>
      <c r="D72" s="434" t="s">
        <v>95</v>
      </c>
      <c r="E72" s="294"/>
      <c r="F72" s="250" t="s">
        <v>116</v>
      </c>
      <c r="G72" s="48" t="s">
        <v>60</v>
      </c>
      <c r="H72" s="237" t="s">
        <v>128</v>
      </c>
      <c r="I72" s="252">
        <v>11.4</v>
      </c>
      <c r="J72" s="295">
        <f t="shared" si="0"/>
        <v>255</v>
      </c>
      <c r="K72" s="296">
        <v>255</v>
      </c>
      <c r="L72" s="212" t="e">
        <f t="shared" si="1"/>
        <v>#DIV/0!</v>
      </c>
      <c r="M72" s="297" t="e">
        <f>IF(K72="nio",0,IF(K72&gt;0,VLOOKUP(G72,'3-Productie normen'!A:L,VLOOKUP(K72,'3-Productie normen'!$B$30:$C$36,2,FALSE),FALSE)))/VLOOKUP(B72,'2-Kosten per locatie'!$A$14:$C$26,3,FALSE)</f>
        <v>#DIV/0!</v>
      </c>
      <c r="N72" s="298"/>
      <c r="P72" s="299">
        <f t="shared" si="3"/>
        <v>2907</v>
      </c>
    </row>
    <row r="73" spans="1:16" ht="14.1" customHeight="1">
      <c r="A73" s="35">
        <v>73</v>
      </c>
      <c r="B73" s="249" t="s">
        <v>34</v>
      </c>
      <c r="C73" s="293"/>
      <c r="D73" s="434" t="s">
        <v>95</v>
      </c>
      <c r="E73" s="294"/>
      <c r="F73" s="250" t="s">
        <v>146</v>
      </c>
      <c r="G73" s="237" t="s">
        <v>59</v>
      </c>
      <c r="H73" s="237" t="s">
        <v>144</v>
      </c>
      <c r="I73" s="252">
        <v>4.1500000000000004</v>
      </c>
      <c r="J73" s="295">
        <f t="shared" si="0"/>
        <v>255</v>
      </c>
      <c r="K73" s="296">
        <v>255</v>
      </c>
      <c r="L73" s="212" t="e">
        <f t="shared" si="1"/>
        <v>#DIV/0!</v>
      </c>
      <c r="M73" s="297" t="e">
        <f>IF(K73="nio",0,IF(K73&gt;0,VLOOKUP(G73,'3-Productie normen'!A:L,VLOOKUP(K73,'3-Productie normen'!$B$30:$C$36,2,FALSE),FALSE)))/VLOOKUP(B73,'2-Kosten per locatie'!$A$14:$C$26,3,FALSE)</f>
        <v>#DIV/0!</v>
      </c>
      <c r="N73" s="298"/>
      <c r="P73" s="299">
        <f t="shared" si="3"/>
        <v>1058.25</v>
      </c>
    </row>
    <row r="74" spans="1:16" ht="14.1" customHeight="1">
      <c r="A74" s="35">
        <v>74</v>
      </c>
      <c r="B74" s="249" t="s">
        <v>34</v>
      </c>
      <c r="C74" s="293"/>
      <c r="D74" s="434" t="s">
        <v>95</v>
      </c>
      <c r="E74" s="294"/>
      <c r="F74" s="250" t="s">
        <v>147</v>
      </c>
      <c r="G74" s="237" t="s">
        <v>59</v>
      </c>
      <c r="H74" s="237" t="s">
        <v>144</v>
      </c>
      <c r="I74" s="252">
        <v>1.25</v>
      </c>
      <c r="J74" s="295">
        <f t="shared" ref="J74:J137" si="4">SUM(K74:K74)</f>
        <v>255</v>
      </c>
      <c r="K74" s="296">
        <v>255</v>
      </c>
      <c r="L74" s="212" t="e">
        <f t="shared" ref="L74:L137" si="5">IF(K74="nio",0,IF(K74&gt;0,K74*I74/M74,0))</f>
        <v>#DIV/0!</v>
      </c>
      <c r="M74" s="297" t="e">
        <f>IF(K74="nio",0,IF(K74&gt;0,VLOOKUP(G74,'3-Productie normen'!A:L,VLOOKUP(K74,'3-Productie normen'!$B$30:$C$36,2,FALSE),FALSE)))/VLOOKUP(B74,'2-Kosten per locatie'!$A$14:$C$26,3,FALSE)</f>
        <v>#DIV/0!</v>
      </c>
      <c r="N74" s="298"/>
      <c r="P74" s="299">
        <f t="shared" ref="P74:P105" si="6">J74*I74</f>
        <v>318.75</v>
      </c>
    </row>
    <row r="75" spans="1:16" ht="14.1" customHeight="1">
      <c r="A75" s="35">
        <v>75</v>
      </c>
      <c r="B75" s="249" t="s">
        <v>34</v>
      </c>
      <c r="C75" s="293"/>
      <c r="D75" s="434" t="s">
        <v>95</v>
      </c>
      <c r="E75" s="294"/>
      <c r="F75" s="250" t="s">
        <v>148</v>
      </c>
      <c r="G75" s="276" t="s">
        <v>69</v>
      </c>
      <c r="H75" s="237" t="s">
        <v>144</v>
      </c>
      <c r="I75" s="252">
        <v>2.35</v>
      </c>
      <c r="J75" s="295">
        <f t="shared" si="4"/>
        <v>255</v>
      </c>
      <c r="K75" s="296">
        <v>255</v>
      </c>
      <c r="L75" s="212" t="e">
        <f t="shared" si="5"/>
        <v>#DIV/0!</v>
      </c>
      <c r="M75" s="297" t="e">
        <f>IF(K75="nio",0,IF(K75&gt;0,VLOOKUP(G75,'3-Productie normen'!A:L,VLOOKUP(K75,'3-Productie normen'!$B$30:$C$36,2,FALSE),FALSE)))/VLOOKUP(B75,'2-Kosten per locatie'!$A$14:$C$26,3,FALSE)</f>
        <v>#DIV/0!</v>
      </c>
      <c r="N75" s="298"/>
      <c r="P75" s="299">
        <f t="shared" si="6"/>
        <v>599.25</v>
      </c>
    </row>
    <row r="76" spans="1:16" ht="14.1" customHeight="1">
      <c r="A76" s="35">
        <v>76</v>
      </c>
      <c r="B76" s="249" t="s">
        <v>34</v>
      </c>
      <c r="C76" s="293"/>
      <c r="D76" s="434" t="s">
        <v>95</v>
      </c>
      <c r="E76" s="294"/>
      <c r="F76" s="250" t="s">
        <v>149</v>
      </c>
      <c r="G76" s="237" t="s">
        <v>70</v>
      </c>
      <c r="H76" s="237" t="s">
        <v>112</v>
      </c>
      <c r="I76" s="252">
        <v>32</v>
      </c>
      <c r="J76" s="295">
        <f t="shared" si="4"/>
        <v>0</v>
      </c>
      <c r="K76" s="296" t="s">
        <v>385</v>
      </c>
      <c r="L76" s="212">
        <f t="shared" si="5"/>
        <v>0</v>
      </c>
      <c r="M76" s="297" t="e">
        <f>IF(K76="nio",0,IF(K76&gt;0,VLOOKUP(G76,'3-Productie normen'!A:L,VLOOKUP(K76,'3-Productie normen'!$B$30:$C$36,2,FALSE),FALSE)))/VLOOKUP(B76,'2-Kosten per locatie'!$A$14:$C$26,3,FALSE)</f>
        <v>#DIV/0!</v>
      </c>
      <c r="N76" s="298"/>
      <c r="P76" s="299">
        <f t="shared" si="6"/>
        <v>0</v>
      </c>
    </row>
    <row r="77" spans="1:16" ht="14.1" customHeight="1">
      <c r="A77" s="35">
        <v>77</v>
      </c>
      <c r="B77" s="249" t="s">
        <v>34</v>
      </c>
      <c r="C77" s="293"/>
      <c r="D77" s="434" t="s">
        <v>95</v>
      </c>
      <c r="E77" s="294"/>
      <c r="F77" s="250" t="s">
        <v>113</v>
      </c>
      <c r="G77" s="276" t="s">
        <v>62</v>
      </c>
      <c r="H77" s="237" t="s">
        <v>144</v>
      </c>
      <c r="I77" s="252">
        <v>58</v>
      </c>
      <c r="J77" s="295">
        <f t="shared" si="4"/>
        <v>255</v>
      </c>
      <c r="K77" s="296">
        <v>255</v>
      </c>
      <c r="L77" s="212" t="e">
        <f t="shared" si="5"/>
        <v>#DIV/0!</v>
      </c>
      <c r="M77" s="297" t="e">
        <f>IF(K77="nio",0,IF(K77&gt;0,VLOOKUP(G77,'3-Productie normen'!A:L,VLOOKUP(K77,'3-Productie normen'!$B$30:$C$36,2,FALSE),FALSE)))/VLOOKUP(B77,'2-Kosten per locatie'!$A$14:$C$26,3,FALSE)</f>
        <v>#DIV/0!</v>
      </c>
      <c r="N77" s="298"/>
      <c r="P77" s="299">
        <f t="shared" si="6"/>
        <v>14790</v>
      </c>
    </row>
    <row r="78" spans="1:16" ht="14.1" customHeight="1">
      <c r="A78" s="35">
        <v>78</v>
      </c>
      <c r="B78" s="249" t="s">
        <v>34</v>
      </c>
      <c r="C78" s="293"/>
      <c r="D78" s="434" t="s">
        <v>95</v>
      </c>
      <c r="E78" s="294"/>
      <c r="F78" s="250" t="s">
        <v>113</v>
      </c>
      <c r="G78" s="276" t="s">
        <v>62</v>
      </c>
      <c r="H78" s="237" t="s">
        <v>128</v>
      </c>
      <c r="I78" s="252">
        <v>11.95</v>
      </c>
      <c r="J78" s="295">
        <f t="shared" si="4"/>
        <v>255</v>
      </c>
      <c r="K78" s="296">
        <v>255</v>
      </c>
      <c r="L78" s="212" t="e">
        <f t="shared" si="5"/>
        <v>#DIV/0!</v>
      </c>
      <c r="M78" s="297" t="e">
        <f>IF(K78="nio",0,IF(K78&gt;0,VLOOKUP(G78,'3-Productie normen'!A:L,VLOOKUP(K78,'3-Productie normen'!$B$30:$C$36,2,FALSE),FALSE)))/VLOOKUP(B78,'2-Kosten per locatie'!$A$14:$C$26,3,FALSE)</f>
        <v>#DIV/0!</v>
      </c>
      <c r="N78" s="298"/>
      <c r="P78" s="299">
        <f t="shared" si="6"/>
        <v>3047.25</v>
      </c>
    </row>
    <row r="79" spans="1:16" ht="14.1" customHeight="1">
      <c r="A79" s="35">
        <v>79</v>
      </c>
      <c r="B79" s="249" t="s">
        <v>34</v>
      </c>
      <c r="C79" s="293"/>
      <c r="D79" s="434" t="s">
        <v>95</v>
      </c>
      <c r="E79" s="294"/>
      <c r="F79" s="250" t="s">
        <v>150</v>
      </c>
      <c r="G79" s="237" t="s">
        <v>60</v>
      </c>
      <c r="H79" s="237" t="s">
        <v>144</v>
      </c>
      <c r="I79" s="252">
        <v>13</v>
      </c>
      <c r="J79" s="295">
        <f t="shared" si="4"/>
        <v>255</v>
      </c>
      <c r="K79" s="296">
        <v>255</v>
      </c>
      <c r="L79" s="212" t="e">
        <f t="shared" si="5"/>
        <v>#DIV/0!</v>
      </c>
      <c r="M79" s="297" t="e">
        <f>IF(K79="nio",0,IF(K79&gt;0,VLOOKUP(G79,'3-Productie normen'!A:L,VLOOKUP(K79,'3-Productie normen'!$B$30:$C$36,2,FALSE),FALSE)))/VLOOKUP(B79,'2-Kosten per locatie'!$A$14:$C$26,3,FALSE)</f>
        <v>#DIV/0!</v>
      </c>
      <c r="N79" s="298"/>
      <c r="P79" s="299">
        <f t="shared" si="6"/>
        <v>3315</v>
      </c>
    </row>
    <row r="80" spans="1:16" ht="14.1" customHeight="1">
      <c r="A80" s="35">
        <v>80</v>
      </c>
      <c r="B80" s="249" t="s">
        <v>35</v>
      </c>
      <c r="C80" s="293"/>
      <c r="D80" s="434" t="s">
        <v>95</v>
      </c>
      <c r="E80" s="294"/>
      <c r="F80" s="250" t="s">
        <v>98</v>
      </c>
      <c r="G80" s="237" t="s">
        <v>66</v>
      </c>
      <c r="H80" s="237" t="s">
        <v>151</v>
      </c>
      <c r="I80" s="252">
        <v>29.2</v>
      </c>
      <c r="J80" s="295">
        <f t="shared" si="4"/>
        <v>200</v>
      </c>
      <c r="K80" s="296">
        <v>200</v>
      </c>
      <c r="L80" s="212" t="e">
        <f t="shared" si="5"/>
        <v>#DIV/0!</v>
      </c>
      <c r="M80" s="297" t="e">
        <f>IF(K80="nio",0,IF(K80&gt;0,VLOOKUP(G80,'3-Productie normen'!A:L,VLOOKUP(K80,'3-Productie normen'!$B$30:$C$36,2,FALSE),FALSE)))/VLOOKUP(B80,'2-Kosten per locatie'!$A$14:$C$26,3,FALSE)</f>
        <v>#DIV/0!</v>
      </c>
      <c r="N80" s="298"/>
      <c r="P80" s="299">
        <f t="shared" si="6"/>
        <v>5840</v>
      </c>
    </row>
    <row r="81" spans="1:16" ht="14.1" customHeight="1">
      <c r="A81" s="35">
        <v>81</v>
      </c>
      <c r="B81" s="249" t="s">
        <v>35</v>
      </c>
      <c r="C81" s="293"/>
      <c r="D81" s="434" t="s">
        <v>95</v>
      </c>
      <c r="E81" s="294"/>
      <c r="F81" s="250" t="s">
        <v>120</v>
      </c>
      <c r="G81" s="48" t="s">
        <v>60</v>
      </c>
      <c r="H81" s="237" t="s">
        <v>152</v>
      </c>
      <c r="I81" s="252">
        <v>18.45</v>
      </c>
      <c r="J81" s="295">
        <f t="shared" si="4"/>
        <v>200</v>
      </c>
      <c r="K81" s="296">
        <v>200</v>
      </c>
      <c r="L81" s="212" t="e">
        <f t="shared" si="5"/>
        <v>#DIV/0!</v>
      </c>
      <c r="M81" s="297" t="e">
        <f>IF(K81="nio",0,IF(K81&gt;0,VLOOKUP(G81,'3-Productie normen'!A:L,VLOOKUP(K81,'3-Productie normen'!$B$30:$C$36,2,FALSE),FALSE)))/VLOOKUP(B81,'2-Kosten per locatie'!$A$14:$C$26,3,FALSE)</f>
        <v>#DIV/0!</v>
      </c>
      <c r="N81" s="298"/>
      <c r="P81" s="299">
        <f t="shared" si="6"/>
        <v>3690</v>
      </c>
    </row>
    <row r="82" spans="1:16" ht="14.1" customHeight="1">
      <c r="A82" s="35">
        <v>82</v>
      </c>
      <c r="B82" s="249" t="s">
        <v>35</v>
      </c>
      <c r="C82" s="293"/>
      <c r="D82" s="434" t="s">
        <v>95</v>
      </c>
      <c r="E82" s="294"/>
      <c r="F82" s="250" t="s">
        <v>153</v>
      </c>
      <c r="G82" s="48" t="s">
        <v>60</v>
      </c>
      <c r="H82" s="237" t="s">
        <v>152</v>
      </c>
      <c r="I82" s="252">
        <v>32.799999999999997</v>
      </c>
      <c r="J82" s="295">
        <f t="shared" si="4"/>
        <v>200</v>
      </c>
      <c r="K82" s="296">
        <v>200</v>
      </c>
      <c r="L82" s="212" t="e">
        <f t="shared" si="5"/>
        <v>#DIV/0!</v>
      </c>
      <c r="M82" s="297" t="e">
        <f>IF(K82="nio",0,IF(K82&gt;0,VLOOKUP(G82,'3-Productie normen'!A:L,VLOOKUP(K82,'3-Productie normen'!$B$30:$C$36,2,FALSE),FALSE)))/VLOOKUP(B82,'2-Kosten per locatie'!$A$14:$C$26,3,FALSE)</f>
        <v>#DIV/0!</v>
      </c>
      <c r="N82" s="298"/>
      <c r="P82" s="299">
        <f t="shared" si="6"/>
        <v>6559.9999999999991</v>
      </c>
    </row>
    <row r="83" spans="1:16" ht="14.1" customHeight="1">
      <c r="A83" s="35">
        <v>83</v>
      </c>
      <c r="B83" s="425" t="s">
        <v>35</v>
      </c>
      <c r="C83" s="293"/>
      <c r="D83" s="434" t="s">
        <v>95</v>
      </c>
      <c r="E83" s="294"/>
      <c r="F83" s="250" t="s">
        <v>154</v>
      </c>
      <c r="G83" s="237" t="s">
        <v>58</v>
      </c>
      <c r="H83" s="237" t="s">
        <v>152</v>
      </c>
      <c r="I83" s="252">
        <v>4.45</v>
      </c>
      <c r="J83" s="295">
        <f t="shared" si="4"/>
        <v>200</v>
      </c>
      <c r="K83" s="296">
        <v>200</v>
      </c>
      <c r="L83" s="212" t="e">
        <f t="shared" si="5"/>
        <v>#DIV/0!</v>
      </c>
      <c r="M83" s="297" t="e">
        <f>IF(K83="nio",0,IF(K83&gt;0,VLOOKUP(G83,'3-Productie normen'!A:L,VLOOKUP(K83,'3-Productie normen'!$B$30:$C$36,2,FALSE),FALSE)))/VLOOKUP(B83,'2-Kosten per locatie'!$A$14:$C$26,3,FALSE)</f>
        <v>#DIV/0!</v>
      </c>
      <c r="N83" s="298"/>
      <c r="P83" s="299">
        <f t="shared" si="6"/>
        <v>890</v>
      </c>
    </row>
    <row r="84" spans="1:16" ht="14.1" customHeight="1">
      <c r="A84" s="35">
        <v>84</v>
      </c>
      <c r="B84" s="249" t="s">
        <v>35</v>
      </c>
      <c r="C84" s="293"/>
      <c r="D84" s="434" t="s">
        <v>95</v>
      </c>
      <c r="E84" s="294"/>
      <c r="F84" s="250" t="s">
        <v>155</v>
      </c>
      <c r="G84" s="237" t="s">
        <v>59</v>
      </c>
      <c r="H84" s="237" t="s">
        <v>144</v>
      </c>
      <c r="I84" s="252">
        <v>3</v>
      </c>
      <c r="J84" s="295">
        <f t="shared" si="4"/>
        <v>200</v>
      </c>
      <c r="K84" s="296">
        <v>200</v>
      </c>
      <c r="L84" s="212" t="e">
        <f t="shared" si="5"/>
        <v>#DIV/0!</v>
      </c>
      <c r="M84" s="297" t="e">
        <f>IF(K84="nio",0,IF(K84&gt;0,VLOOKUP(G84,'3-Productie normen'!A:L,VLOOKUP(K84,'3-Productie normen'!$B$30:$C$36,2,FALSE),FALSE)))/VLOOKUP(B84,'2-Kosten per locatie'!$A$14:$C$26,3,FALSE)</f>
        <v>#DIV/0!</v>
      </c>
      <c r="N84" s="298"/>
      <c r="P84" s="299">
        <f t="shared" si="6"/>
        <v>600</v>
      </c>
    </row>
    <row r="85" spans="1:16" ht="14.1" customHeight="1">
      <c r="A85" s="35">
        <v>85</v>
      </c>
      <c r="B85" s="249" t="s">
        <v>35</v>
      </c>
      <c r="C85" s="293"/>
      <c r="D85" s="434" t="s">
        <v>95</v>
      </c>
      <c r="E85" s="294"/>
      <c r="F85" s="250" t="s">
        <v>100</v>
      </c>
      <c r="G85" s="237" t="s">
        <v>59</v>
      </c>
      <c r="H85" s="237" t="s">
        <v>144</v>
      </c>
      <c r="I85" s="252">
        <v>9.1999999999999993</v>
      </c>
      <c r="J85" s="295">
        <f t="shared" si="4"/>
        <v>200</v>
      </c>
      <c r="K85" s="296">
        <v>200</v>
      </c>
      <c r="L85" s="212" t="e">
        <f t="shared" si="5"/>
        <v>#DIV/0!</v>
      </c>
      <c r="M85" s="297" t="e">
        <f>IF(K85="nio",0,IF(K85&gt;0,VLOOKUP(G85,'3-Productie normen'!A:L,VLOOKUP(K85,'3-Productie normen'!$B$30:$C$36,2,FALSE),FALSE)))/VLOOKUP(B85,'2-Kosten per locatie'!$A$14:$C$26,3,FALSE)</f>
        <v>#DIV/0!</v>
      </c>
      <c r="N85" s="298"/>
      <c r="P85" s="299">
        <f t="shared" si="6"/>
        <v>1839.9999999999998</v>
      </c>
    </row>
    <row r="86" spans="1:16" ht="14.1" customHeight="1">
      <c r="A86" s="35">
        <v>86</v>
      </c>
      <c r="B86" s="249" t="s">
        <v>35</v>
      </c>
      <c r="C86" s="293"/>
      <c r="D86" s="434" t="s">
        <v>95</v>
      </c>
      <c r="E86" s="294"/>
      <c r="F86" s="250" t="s">
        <v>103</v>
      </c>
      <c r="G86" s="237" t="s">
        <v>59</v>
      </c>
      <c r="H86" s="237" t="s">
        <v>144</v>
      </c>
      <c r="I86" s="252">
        <v>9</v>
      </c>
      <c r="J86" s="295">
        <f t="shared" si="4"/>
        <v>200</v>
      </c>
      <c r="K86" s="296">
        <v>200</v>
      </c>
      <c r="L86" s="212" t="e">
        <f t="shared" si="5"/>
        <v>#DIV/0!</v>
      </c>
      <c r="M86" s="297" t="e">
        <f>IF(K86="nio",0,IF(K86&gt;0,VLOOKUP(G86,'3-Productie normen'!A:L,VLOOKUP(K86,'3-Productie normen'!$B$30:$C$36,2,FALSE),FALSE)))/VLOOKUP(B86,'2-Kosten per locatie'!$A$14:$C$26,3,FALSE)</f>
        <v>#DIV/0!</v>
      </c>
      <c r="N86" s="298"/>
      <c r="P86" s="299">
        <f t="shared" si="6"/>
        <v>1800</v>
      </c>
    </row>
    <row r="87" spans="1:16" ht="14.1" customHeight="1">
      <c r="A87" s="35">
        <v>87</v>
      </c>
      <c r="B87" s="249" t="s">
        <v>35</v>
      </c>
      <c r="C87" s="293"/>
      <c r="D87" s="434" t="s">
        <v>95</v>
      </c>
      <c r="E87" s="294"/>
      <c r="F87" s="250" t="s">
        <v>156</v>
      </c>
      <c r="G87" s="276" t="s">
        <v>62</v>
      </c>
      <c r="H87" s="237" t="s">
        <v>144</v>
      </c>
      <c r="I87" s="252">
        <v>13.2</v>
      </c>
      <c r="J87" s="295">
        <f t="shared" si="4"/>
        <v>200</v>
      </c>
      <c r="K87" s="296">
        <v>200</v>
      </c>
      <c r="L87" s="212" t="e">
        <f t="shared" si="5"/>
        <v>#DIV/0!</v>
      </c>
      <c r="M87" s="297" t="e">
        <f>IF(K87="nio",0,IF(K87&gt;0,VLOOKUP(G87,'3-Productie normen'!A:L,VLOOKUP(K87,'3-Productie normen'!$B$30:$C$36,2,FALSE),FALSE)))/VLOOKUP(B87,'2-Kosten per locatie'!$A$14:$C$26,3,FALSE)</f>
        <v>#DIV/0!</v>
      </c>
      <c r="N87" s="298"/>
      <c r="P87" s="299">
        <f t="shared" si="6"/>
        <v>2640</v>
      </c>
    </row>
    <row r="88" spans="1:16" ht="14.1" customHeight="1">
      <c r="A88" s="35">
        <v>88</v>
      </c>
      <c r="B88" s="249" t="s">
        <v>35</v>
      </c>
      <c r="C88" s="293"/>
      <c r="D88" s="434" t="s">
        <v>95</v>
      </c>
      <c r="E88" s="294"/>
      <c r="F88" s="250" t="s">
        <v>157</v>
      </c>
      <c r="G88" s="276" t="s">
        <v>69</v>
      </c>
      <c r="H88" s="237" t="s">
        <v>144</v>
      </c>
      <c r="I88" s="252">
        <v>5</v>
      </c>
      <c r="J88" s="295">
        <f t="shared" si="4"/>
        <v>200</v>
      </c>
      <c r="K88" s="296">
        <v>200</v>
      </c>
      <c r="L88" s="212" t="e">
        <f t="shared" si="5"/>
        <v>#DIV/0!</v>
      </c>
      <c r="M88" s="297" t="e">
        <f>IF(K88="nio",0,IF(K88&gt;0,VLOOKUP(G88,'3-Productie normen'!A:L,VLOOKUP(K88,'3-Productie normen'!$B$30:$C$36,2,FALSE),FALSE)))/VLOOKUP(B88,'2-Kosten per locatie'!$A$14:$C$26,3,FALSE)</f>
        <v>#DIV/0!</v>
      </c>
      <c r="N88" s="298"/>
      <c r="P88" s="299">
        <f t="shared" si="6"/>
        <v>1000</v>
      </c>
    </row>
    <row r="89" spans="1:16" ht="14.1" customHeight="1">
      <c r="A89" s="35">
        <v>89</v>
      </c>
      <c r="B89" s="249" t="s">
        <v>35</v>
      </c>
      <c r="C89" s="293"/>
      <c r="D89" s="434" t="s">
        <v>95</v>
      </c>
      <c r="E89" s="294"/>
      <c r="F89" s="250" t="s">
        <v>158</v>
      </c>
      <c r="G89" s="237" t="s">
        <v>59</v>
      </c>
      <c r="H89" s="237" t="s">
        <v>144</v>
      </c>
      <c r="I89" s="252">
        <v>1.35</v>
      </c>
      <c r="J89" s="295">
        <f t="shared" si="4"/>
        <v>200</v>
      </c>
      <c r="K89" s="296">
        <v>200</v>
      </c>
      <c r="L89" s="212" t="e">
        <f t="shared" si="5"/>
        <v>#DIV/0!</v>
      </c>
      <c r="M89" s="297" t="e">
        <f>IF(K89="nio",0,IF(K89&gt;0,VLOOKUP(G89,'3-Productie normen'!A:L,VLOOKUP(K89,'3-Productie normen'!$B$30:$C$36,2,FALSE),FALSE)))/VLOOKUP(B89,'2-Kosten per locatie'!$A$14:$C$26,3,FALSE)</f>
        <v>#DIV/0!</v>
      </c>
      <c r="N89" s="298"/>
      <c r="P89" s="299">
        <f t="shared" si="6"/>
        <v>270</v>
      </c>
    </row>
    <row r="90" spans="1:16" ht="14.1" customHeight="1">
      <c r="A90" s="35">
        <v>90</v>
      </c>
      <c r="B90" s="249" t="s">
        <v>35</v>
      </c>
      <c r="C90" s="293"/>
      <c r="D90" s="434" t="s">
        <v>95</v>
      </c>
      <c r="E90" s="294"/>
      <c r="F90" s="250" t="s">
        <v>159</v>
      </c>
      <c r="G90" s="276" t="s">
        <v>62</v>
      </c>
      <c r="H90" s="237" t="s">
        <v>144</v>
      </c>
      <c r="I90" s="252">
        <v>13.2</v>
      </c>
      <c r="J90" s="295">
        <f t="shared" si="4"/>
        <v>200</v>
      </c>
      <c r="K90" s="296">
        <v>200</v>
      </c>
      <c r="L90" s="212" t="e">
        <f t="shared" si="5"/>
        <v>#DIV/0!</v>
      </c>
      <c r="M90" s="297" t="e">
        <f>IF(K90="nio",0,IF(K90&gt;0,VLOOKUP(G90,'3-Productie normen'!A:L,VLOOKUP(K90,'3-Productie normen'!$B$30:$C$36,2,FALSE),FALSE)))/VLOOKUP(B90,'2-Kosten per locatie'!$A$14:$C$26,3,FALSE)</f>
        <v>#DIV/0!</v>
      </c>
      <c r="N90" s="298"/>
      <c r="P90" s="299">
        <f t="shared" si="6"/>
        <v>2640</v>
      </c>
    </row>
    <row r="91" spans="1:16" ht="14.1" customHeight="1">
      <c r="A91" s="35">
        <v>91</v>
      </c>
      <c r="B91" s="249" t="s">
        <v>35</v>
      </c>
      <c r="C91" s="293"/>
      <c r="D91" s="434" t="s">
        <v>95</v>
      </c>
      <c r="E91" s="294"/>
      <c r="F91" s="250" t="s">
        <v>160</v>
      </c>
      <c r="G91" s="276" t="s">
        <v>69</v>
      </c>
      <c r="H91" s="237" t="s">
        <v>144</v>
      </c>
      <c r="I91" s="252">
        <v>5</v>
      </c>
      <c r="J91" s="295">
        <f t="shared" si="4"/>
        <v>200</v>
      </c>
      <c r="K91" s="296">
        <v>200</v>
      </c>
      <c r="L91" s="212" t="e">
        <f t="shared" si="5"/>
        <v>#DIV/0!</v>
      </c>
      <c r="M91" s="297" t="e">
        <f>IF(K91="nio",0,IF(K91&gt;0,VLOOKUP(G91,'3-Productie normen'!A:L,VLOOKUP(K91,'3-Productie normen'!$B$30:$C$36,2,FALSE),FALSE)))/VLOOKUP(B91,'2-Kosten per locatie'!$A$14:$C$26,3,FALSE)</f>
        <v>#DIV/0!</v>
      </c>
      <c r="N91" s="298"/>
      <c r="P91" s="299">
        <f t="shared" si="6"/>
        <v>1000</v>
      </c>
    </row>
    <row r="92" spans="1:16" ht="14.1" customHeight="1">
      <c r="A92" s="35">
        <v>92</v>
      </c>
      <c r="B92" s="249" t="s">
        <v>35</v>
      </c>
      <c r="C92" s="293"/>
      <c r="D92" s="434" t="s">
        <v>95</v>
      </c>
      <c r="E92" s="294"/>
      <c r="F92" s="250" t="s">
        <v>161</v>
      </c>
      <c r="G92" s="237" t="s">
        <v>59</v>
      </c>
      <c r="H92" s="237" t="s">
        <v>144</v>
      </c>
      <c r="I92" s="252">
        <v>1.35</v>
      </c>
      <c r="J92" s="295">
        <f t="shared" si="4"/>
        <v>200</v>
      </c>
      <c r="K92" s="296">
        <v>200</v>
      </c>
      <c r="L92" s="212" t="e">
        <f t="shared" si="5"/>
        <v>#DIV/0!</v>
      </c>
      <c r="M92" s="297" t="e">
        <f>IF(K92="nio",0,IF(K92&gt;0,VLOOKUP(G92,'3-Productie normen'!A:L,VLOOKUP(K92,'3-Productie normen'!$B$30:$C$36,2,FALSE),FALSE)))/VLOOKUP(B92,'2-Kosten per locatie'!$A$14:$C$26,3,FALSE)</f>
        <v>#DIV/0!</v>
      </c>
      <c r="N92" s="298"/>
      <c r="P92" s="299">
        <f t="shared" si="6"/>
        <v>270</v>
      </c>
    </row>
    <row r="93" spans="1:16" ht="14.1" customHeight="1">
      <c r="A93" s="35">
        <v>93</v>
      </c>
      <c r="B93" s="249" t="s">
        <v>35</v>
      </c>
      <c r="C93" s="293"/>
      <c r="D93" s="434" t="s">
        <v>95</v>
      </c>
      <c r="E93" s="294"/>
      <c r="F93" s="250" t="s">
        <v>162</v>
      </c>
      <c r="G93" s="276" t="s">
        <v>62</v>
      </c>
      <c r="H93" s="237" t="s">
        <v>144</v>
      </c>
      <c r="I93" s="252">
        <v>24.75</v>
      </c>
      <c r="J93" s="295">
        <f t="shared" si="4"/>
        <v>200</v>
      </c>
      <c r="K93" s="296">
        <v>200</v>
      </c>
      <c r="L93" s="212" t="e">
        <f t="shared" si="5"/>
        <v>#DIV/0!</v>
      </c>
      <c r="M93" s="297" t="e">
        <f>IF(K93="nio",0,IF(K93&gt;0,VLOOKUP(G93,'3-Productie normen'!A:L,VLOOKUP(K93,'3-Productie normen'!$B$30:$C$36,2,FALSE),FALSE)))/VLOOKUP(B93,'2-Kosten per locatie'!$A$14:$C$26,3,FALSE)</f>
        <v>#DIV/0!</v>
      </c>
      <c r="N93" s="298"/>
      <c r="P93" s="299">
        <f t="shared" si="6"/>
        <v>4950</v>
      </c>
    </row>
    <row r="94" spans="1:16" ht="14.1" customHeight="1">
      <c r="A94" s="35">
        <v>94</v>
      </c>
      <c r="B94" s="249" t="s">
        <v>35</v>
      </c>
      <c r="C94" s="293"/>
      <c r="D94" s="434" t="s">
        <v>95</v>
      </c>
      <c r="E94" s="294"/>
      <c r="F94" s="250" t="s">
        <v>163</v>
      </c>
      <c r="G94" s="276" t="s">
        <v>59</v>
      </c>
      <c r="H94" s="237" t="s">
        <v>144</v>
      </c>
      <c r="I94" s="252">
        <v>6</v>
      </c>
      <c r="J94" s="295">
        <f t="shared" si="4"/>
        <v>200</v>
      </c>
      <c r="K94" s="296">
        <v>200</v>
      </c>
      <c r="L94" s="212" t="e">
        <f t="shared" si="5"/>
        <v>#DIV/0!</v>
      </c>
      <c r="M94" s="297" t="e">
        <f>IF(K94="nio",0,IF(K94&gt;0,VLOOKUP(G94,'3-Productie normen'!A:L,VLOOKUP(K94,'3-Productie normen'!$B$30:$C$36,2,FALSE),FALSE)))/VLOOKUP(B94,'2-Kosten per locatie'!$A$14:$C$26,3,FALSE)</f>
        <v>#DIV/0!</v>
      </c>
      <c r="N94" s="298"/>
      <c r="P94" s="299">
        <f t="shared" si="6"/>
        <v>1200</v>
      </c>
    </row>
    <row r="95" spans="1:16" ht="14.1" customHeight="1">
      <c r="A95" s="35">
        <v>95</v>
      </c>
      <c r="B95" s="249" t="s">
        <v>35</v>
      </c>
      <c r="C95" s="293"/>
      <c r="D95" s="434" t="s">
        <v>95</v>
      </c>
      <c r="E95" s="294"/>
      <c r="F95" s="250" t="s">
        <v>164</v>
      </c>
      <c r="G95" s="237" t="s">
        <v>59</v>
      </c>
      <c r="H95" s="237" t="s">
        <v>144</v>
      </c>
      <c r="I95" s="252">
        <v>1.2</v>
      </c>
      <c r="J95" s="295">
        <f t="shared" si="4"/>
        <v>200</v>
      </c>
      <c r="K95" s="296">
        <v>200</v>
      </c>
      <c r="L95" s="212" t="e">
        <f t="shared" si="5"/>
        <v>#DIV/0!</v>
      </c>
      <c r="M95" s="297" t="e">
        <f>IF(K95="nio",0,IF(K95&gt;0,VLOOKUP(G95,'3-Productie normen'!A:L,VLOOKUP(K95,'3-Productie normen'!$B$30:$C$36,2,FALSE),FALSE)))/VLOOKUP(B95,'2-Kosten per locatie'!$A$14:$C$26,3,FALSE)</f>
        <v>#DIV/0!</v>
      </c>
      <c r="N95" s="298"/>
      <c r="P95" s="299">
        <f t="shared" si="6"/>
        <v>240</v>
      </c>
    </row>
    <row r="96" spans="1:16" ht="14.1" customHeight="1">
      <c r="A96" s="35">
        <v>96</v>
      </c>
      <c r="B96" s="249" t="s">
        <v>35</v>
      </c>
      <c r="C96" s="293"/>
      <c r="D96" s="434" t="s">
        <v>95</v>
      </c>
      <c r="E96" s="294"/>
      <c r="F96" s="251" t="s">
        <v>165</v>
      </c>
      <c r="G96" s="276" t="s">
        <v>69</v>
      </c>
      <c r="H96" s="237" t="s">
        <v>144</v>
      </c>
      <c r="I96" s="252">
        <v>7.65</v>
      </c>
      <c r="J96" s="295">
        <f t="shared" si="4"/>
        <v>200</v>
      </c>
      <c r="K96" s="296">
        <v>200</v>
      </c>
      <c r="L96" s="212" t="e">
        <f t="shared" si="5"/>
        <v>#DIV/0!</v>
      </c>
      <c r="M96" s="297" t="e">
        <f>IF(K96="nio",0,IF(K96&gt;0,VLOOKUP(G96,'3-Productie normen'!A:L,VLOOKUP(K96,'3-Productie normen'!$B$30:$C$36,2,FALSE),FALSE)))/VLOOKUP(B96,'2-Kosten per locatie'!$A$14:$C$26,3,FALSE)</f>
        <v>#DIV/0!</v>
      </c>
      <c r="N96" s="298"/>
      <c r="P96" s="299">
        <f t="shared" si="6"/>
        <v>1530</v>
      </c>
    </row>
    <row r="97" spans="1:16" ht="14.1" customHeight="1">
      <c r="A97" s="35">
        <v>97</v>
      </c>
      <c r="B97" s="249" t="s">
        <v>35</v>
      </c>
      <c r="C97" s="293"/>
      <c r="D97" s="434" t="s">
        <v>95</v>
      </c>
      <c r="E97" s="294"/>
      <c r="F97" s="250" t="s">
        <v>166</v>
      </c>
      <c r="G97" s="276" t="s">
        <v>62</v>
      </c>
      <c r="H97" s="237" t="s">
        <v>144</v>
      </c>
      <c r="I97" s="252">
        <v>24.55</v>
      </c>
      <c r="J97" s="295">
        <f t="shared" si="4"/>
        <v>200</v>
      </c>
      <c r="K97" s="296">
        <v>200</v>
      </c>
      <c r="L97" s="212" t="e">
        <f t="shared" si="5"/>
        <v>#DIV/0!</v>
      </c>
      <c r="M97" s="297" t="e">
        <f>IF(K97="nio",0,IF(K97&gt;0,VLOOKUP(G97,'3-Productie normen'!A:L,VLOOKUP(K97,'3-Productie normen'!$B$30:$C$36,2,FALSE),FALSE)))/VLOOKUP(B97,'2-Kosten per locatie'!$A$14:$C$26,3,FALSE)</f>
        <v>#DIV/0!</v>
      </c>
      <c r="N97" s="298"/>
      <c r="P97" s="299">
        <f t="shared" si="6"/>
        <v>4910</v>
      </c>
    </row>
    <row r="98" spans="1:16" ht="14.1" customHeight="1">
      <c r="A98" s="35">
        <v>98</v>
      </c>
      <c r="B98" s="249" t="s">
        <v>35</v>
      </c>
      <c r="C98" s="293"/>
      <c r="D98" s="434" t="s">
        <v>95</v>
      </c>
      <c r="E98" s="294"/>
      <c r="F98" s="250" t="s">
        <v>167</v>
      </c>
      <c r="G98" s="276" t="s">
        <v>59</v>
      </c>
      <c r="H98" s="237" t="s">
        <v>144</v>
      </c>
      <c r="I98" s="252">
        <v>1.2</v>
      </c>
      <c r="J98" s="295">
        <f t="shared" si="4"/>
        <v>200</v>
      </c>
      <c r="K98" s="296">
        <v>200</v>
      </c>
      <c r="L98" s="212" t="e">
        <f t="shared" si="5"/>
        <v>#DIV/0!</v>
      </c>
      <c r="M98" s="297" t="e">
        <f>IF(K98="nio",0,IF(K98&gt;0,VLOOKUP(G98,'3-Productie normen'!A:L,VLOOKUP(K98,'3-Productie normen'!$B$30:$C$36,2,FALSE),FALSE)))/VLOOKUP(B98,'2-Kosten per locatie'!$A$14:$C$26,3,FALSE)</f>
        <v>#DIV/0!</v>
      </c>
      <c r="N98" s="298"/>
      <c r="P98" s="299">
        <f t="shared" si="6"/>
        <v>240</v>
      </c>
    </row>
    <row r="99" spans="1:16" ht="14.1" customHeight="1">
      <c r="A99" s="35">
        <v>99</v>
      </c>
      <c r="B99" s="249" t="s">
        <v>35</v>
      </c>
      <c r="C99" s="293"/>
      <c r="D99" s="434" t="s">
        <v>95</v>
      </c>
      <c r="E99" s="294"/>
      <c r="F99" s="250" t="s">
        <v>168</v>
      </c>
      <c r="G99" s="276" t="s">
        <v>59</v>
      </c>
      <c r="H99" s="237" t="s">
        <v>144</v>
      </c>
      <c r="I99" s="252">
        <v>5.85</v>
      </c>
      <c r="J99" s="295">
        <f t="shared" si="4"/>
        <v>200</v>
      </c>
      <c r="K99" s="296">
        <v>200</v>
      </c>
      <c r="L99" s="212" t="e">
        <f t="shared" si="5"/>
        <v>#DIV/0!</v>
      </c>
      <c r="M99" s="297" t="e">
        <f>IF(K99="nio",0,IF(K99&gt;0,VLOOKUP(G99,'3-Productie normen'!A:L,VLOOKUP(K99,'3-Productie normen'!$B$30:$C$36,2,FALSE),FALSE)))/VLOOKUP(B99,'2-Kosten per locatie'!$A$14:$C$26,3,FALSE)</f>
        <v>#DIV/0!</v>
      </c>
      <c r="N99" s="298"/>
      <c r="P99" s="299">
        <f t="shared" si="6"/>
        <v>1170</v>
      </c>
    </row>
    <row r="100" spans="1:16" ht="14.1" customHeight="1">
      <c r="A100" s="35">
        <v>100</v>
      </c>
      <c r="B100" s="249" t="s">
        <v>35</v>
      </c>
      <c r="C100" s="293"/>
      <c r="D100" s="434" t="s">
        <v>95</v>
      </c>
      <c r="E100" s="294"/>
      <c r="F100" s="251" t="s">
        <v>169</v>
      </c>
      <c r="G100" s="276" t="s">
        <v>69</v>
      </c>
      <c r="H100" s="237" t="s">
        <v>144</v>
      </c>
      <c r="I100" s="252">
        <v>7.65</v>
      </c>
      <c r="J100" s="295">
        <f t="shared" si="4"/>
        <v>200</v>
      </c>
      <c r="K100" s="296">
        <v>200</v>
      </c>
      <c r="L100" s="212" t="e">
        <f t="shared" si="5"/>
        <v>#DIV/0!</v>
      </c>
      <c r="M100" s="297" t="e">
        <f>IF(K100="nio",0,IF(K100&gt;0,VLOOKUP(G100,'3-Productie normen'!A:L,VLOOKUP(K100,'3-Productie normen'!$B$30:$C$36,2,FALSE),FALSE)))/VLOOKUP(B100,'2-Kosten per locatie'!$A$14:$C$26,3,FALSE)</f>
        <v>#DIV/0!</v>
      </c>
      <c r="N100" s="298"/>
      <c r="P100" s="299">
        <f t="shared" si="6"/>
        <v>1530</v>
      </c>
    </row>
    <row r="101" spans="1:16" ht="14.1" customHeight="1">
      <c r="A101" s="35">
        <v>101</v>
      </c>
      <c r="B101" s="249" t="s">
        <v>35</v>
      </c>
      <c r="C101" s="293"/>
      <c r="D101" s="434" t="s">
        <v>95</v>
      </c>
      <c r="E101" s="294"/>
      <c r="F101" s="250" t="s">
        <v>170</v>
      </c>
      <c r="G101" s="237" t="s">
        <v>65</v>
      </c>
      <c r="H101" s="237" t="s">
        <v>106</v>
      </c>
      <c r="I101" s="252">
        <v>447</v>
      </c>
      <c r="J101" s="295">
        <f t="shared" si="4"/>
        <v>200</v>
      </c>
      <c r="K101" s="296">
        <v>200</v>
      </c>
      <c r="L101" s="212" t="e">
        <f t="shared" si="5"/>
        <v>#DIV/0!</v>
      </c>
      <c r="M101" s="297" t="e">
        <f>IF(K101="nio",0,IF(K101&gt;0,VLOOKUP(G101,'3-Productie normen'!A:L,VLOOKUP(K101,'3-Productie normen'!$B$30:$C$36,2,FALSE),FALSE)))/VLOOKUP(B101,'2-Kosten per locatie'!$A$14:$C$26,3,FALSE)</f>
        <v>#DIV/0!</v>
      </c>
      <c r="N101" s="298"/>
      <c r="P101" s="299">
        <f t="shared" si="6"/>
        <v>89400</v>
      </c>
    </row>
    <row r="102" spans="1:16" ht="14.1" customHeight="1">
      <c r="A102" s="35">
        <v>102</v>
      </c>
      <c r="B102" s="249" t="s">
        <v>35</v>
      </c>
      <c r="C102" s="293"/>
      <c r="D102" s="434" t="s">
        <v>95</v>
      </c>
      <c r="E102" s="294"/>
      <c r="F102" s="250" t="s">
        <v>171</v>
      </c>
      <c r="G102" s="237" t="s">
        <v>70</v>
      </c>
      <c r="H102" s="237" t="s">
        <v>106</v>
      </c>
      <c r="I102" s="252">
        <v>43.65</v>
      </c>
      <c r="J102" s="295">
        <f t="shared" si="4"/>
        <v>0</v>
      </c>
      <c r="K102" s="296" t="s">
        <v>385</v>
      </c>
      <c r="L102" s="212">
        <f t="shared" si="5"/>
        <v>0</v>
      </c>
      <c r="M102" s="297" t="e">
        <f>IF(K102="nio",0,IF(K102&gt;0,VLOOKUP(G102,'3-Productie normen'!A:L,VLOOKUP(K102,'3-Productie normen'!$B$30:$C$36,2,FALSE),FALSE)))/VLOOKUP(B102,'2-Kosten per locatie'!$A$14:$C$26,3,FALSE)</f>
        <v>#DIV/0!</v>
      </c>
      <c r="N102" s="298"/>
      <c r="P102" s="299">
        <f t="shared" si="6"/>
        <v>0</v>
      </c>
    </row>
    <row r="103" spans="1:16" ht="14.1" customHeight="1">
      <c r="A103" s="35">
        <v>103</v>
      </c>
      <c r="B103" s="249" t="s">
        <v>35</v>
      </c>
      <c r="C103" s="293"/>
      <c r="D103" s="434" t="s">
        <v>95</v>
      </c>
      <c r="E103" s="294"/>
      <c r="F103" s="250" t="s">
        <v>172</v>
      </c>
      <c r="G103" s="237" t="s">
        <v>65</v>
      </c>
      <c r="H103" s="237" t="s">
        <v>106</v>
      </c>
      <c r="I103" s="252">
        <v>250</v>
      </c>
      <c r="J103" s="295">
        <f t="shared" si="4"/>
        <v>200</v>
      </c>
      <c r="K103" s="296">
        <v>200</v>
      </c>
      <c r="L103" s="212" t="e">
        <f t="shared" si="5"/>
        <v>#DIV/0!</v>
      </c>
      <c r="M103" s="297" t="e">
        <f>IF(K103="nio",0,IF(K103&gt;0,VLOOKUP(G103,'3-Productie normen'!A:L,VLOOKUP(K103,'3-Productie normen'!$B$30:$C$36,2,FALSE),FALSE)))/VLOOKUP(B103,'2-Kosten per locatie'!$A$14:$C$26,3,FALSE)</f>
        <v>#DIV/0!</v>
      </c>
      <c r="N103" s="298"/>
      <c r="P103" s="299">
        <f t="shared" si="6"/>
        <v>50000</v>
      </c>
    </row>
    <row r="104" spans="1:16" ht="14.1" customHeight="1">
      <c r="A104" s="35">
        <v>104</v>
      </c>
      <c r="B104" s="249" t="s">
        <v>35</v>
      </c>
      <c r="C104" s="293"/>
      <c r="D104" s="434" t="s">
        <v>95</v>
      </c>
      <c r="E104" s="294"/>
      <c r="F104" s="250" t="s">
        <v>173</v>
      </c>
      <c r="G104" s="237" t="s">
        <v>70</v>
      </c>
      <c r="H104" s="237" t="s">
        <v>106</v>
      </c>
      <c r="I104" s="252">
        <v>43</v>
      </c>
      <c r="J104" s="295">
        <f t="shared" si="4"/>
        <v>0</v>
      </c>
      <c r="K104" s="296" t="s">
        <v>385</v>
      </c>
      <c r="L104" s="212">
        <f t="shared" si="5"/>
        <v>0</v>
      </c>
      <c r="M104" s="297" t="e">
        <f>IF(K104="nio",0,IF(K104&gt;0,VLOOKUP(G104,'3-Productie normen'!A:L,VLOOKUP(K104,'3-Productie normen'!$B$30:$C$36,2,FALSE),FALSE)))/VLOOKUP(B104,'2-Kosten per locatie'!$A$14:$C$26,3,FALSE)</f>
        <v>#DIV/0!</v>
      </c>
      <c r="N104" s="298"/>
      <c r="P104" s="299">
        <f t="shared" si="6"/>
        <v>0</v>
      </c>
    </row>
    <row r="105" spans="1:16" ht="14.1" customHeight="1">
      <c r="A105" s="35">
        <v>105</v>
      </c>
      <c r="B105" s="249" t="s">
        <v>35</v>
      </c>
      <c r="C105" s="293"/>
      <c r="D105" s="434" t="s">
        <v>95</v>
      </c>
      <c r="E105" s="294"/>
      <c r="F105" s="250" t="s">
        <v>174</v>
      </c>
      <c r="G105" s="237" t="s">
        <v>67</v>
      </c>
      <c r="H105" s="237" t="s">
        <v>152</v>
      </c>
      <c r="I105" s="252">
        <v>8.1999999999999993</v>
      </c>
      <c r="J105" s="295">
        <f t="shared" si="4"/>
        <v>200</v>
      </c>
      <c r="K105" s="296">
        <v>200</v>
      </c>
      <c r="L105" s="212" t="e">
        <f t="shared" si="5"/>
        <v>#DIV/0!</v>
      </c>
      <c r="M105" s="297" t="e">
        <f>IF(K105="nio",0,IF(K105&gt;0,VLOOKUP(G105,'3-Productie normen'!A:L,VLOOKUP(K105,'3-Productie normen'!$B$30:$C$36,2,FALSE),FALSE)))/VLOOKUP(B105,'2-Kosten per locatie'!$A$14:$C$26,3,FALSE)</f>
        <v>#DIV/0!</v>
      </c>
      <c r="N105" s="298"/>
      <c r="P105" s="299">
        <f t="shared" si="6"/>
        <v>1639.9999999999998</v>
      </c>
    </row>
    <row r="106" spans="1:16" ht="14.1" customHeight="1">
      <c r="A106" s="35">
        <v>106</v>
      </c>
      <c r="B106" s="249" t="s">
        <v>35</v>
      </c>
      <c r="C106" s="293"/>
      <c r="D106" s="434" t="s">
        <v>95</v>
      </c>
      <c r="E106" s="294"/>
      <c r="F106" s="250" t="s">
        <v>175</v>
      </c>
      <c r="G106" s="276" t="s">
        <v>62</v>
      </c>
      <c r="H106" s="237" t="s">
        <v>144</v>
      </c>
      <c r="I106" s="252">
        <v>22.5</v>
      </c>
      <c r="J106" s="295">
        <f t="shared" si="4"/>
        <v>200</v>
      </c>
      <c r="K106" s="296">
        <v>200</v>
      </c>
      <c r="L106" s="212" t="e">
        <f t="shared" si="5"/>
        <v>#DIV/0!</v>
      </c>
      <c r="M106" s="297" t="e">
        <f>IF(K106="nio",0,IF(K106&gt;0,VLOOKUP(G106,'3-Productie normen'!A:L,VLOOKUP(K106,'3-Productie normen'!$B$30:$C$36,2,FALSE),FALSE)))/VLOOKUP(B106,'2-Kosten per locatie'!$A$14:$C$26,3,FALSE)</f>
        <v>#DIV/0!</v>
      </c>
      <c r="N106" s="298"/>
      <c r="P106" s="299">
        <f t="shared" ref="P106:P137" si="7">J106*I106</f>
        <v>4500</v>
      </c>
    </row>
    <row r="107" spans="1:16" ht="14.1" customHeight="1">
      <c r="A107" s="35">
        <v>107</v>
      </c>
      <c r="B107" s="249" t="s">
        <v>35</v>
      </c>
      <c r="C107" s="293"/>
      <c r="D107" s="434" t="s">
        <v>95</v>
      </c>
      <c r="E107" s="294"/>
      <c r="F107" s="251" t="s">
        <v>176</v>
      </c>
      <c r="G107" s="276" t="s">
        <v>59</v>
      </c>
      <c r="H107" s="237" t="s">
        <v>144</v>
      </c>
      <c r="I107" s="252">
        <v>1</v>
      </c>
      <c r="J107" s="295">
        <f t="shared" si="4"/>
        <v>200</v>
      </c>
      <c r="K107" s="296">
        <v>200</v>
      </c>
      <c r="L107" s="212" t="e">
        <f t="shared" si="5"/>
        <v>#DIV/0!</v>
      </c>
      <c r="M107" s="297" t="e">
        <f>IF(K107="nio",0,IF(K107&gt;0,VLOOKUP(G107,'3-Productie normen'!A:L,VLOOKUP(K107,'3-Productie normen'!$B$30:$C$36,2,FALSE),FALSE)))/VLOOKUP(B107,'2-Kosten per locatie'!$A$14:$C$26,3,FALSE)</f>
        <v>#DIV/0!</v>
      </c>
      <c r="N107" s="298"/>
      <c r="P107" s="299">
        <f t="shared" si="7"/>
        <v>200</v>
      </c>
    </row>
    <row r="108" spans="1:16" ht="14.1" customHeight="1">
      <c r="A108" s="35">
        <v>108</v>
      </c>
      <c r="B108" s="249" t="s">
        <v>35</v>
      </c>
      <c r="C108" s="293"/>
      <c r="D108" s="434" t="s">
        <v>95</v>
      </c>
      <c r="E108" s="294"/>
      <c r="F108" s="250" t="s">
        <v>177</v>
      </c>
      <c r="G108" s="276" t="s">
        <v>69</v>
      </c>
      <c r="H108" s="237" t="s">
        <v>144</v>
      </c>
      <c r="I108" s="252">
        <v>9.5</v>
      </c>
      <c r="J108" s="295">
        <f t="shared" si="4"/>
        <v>200</v>
      </c>
      <c r="K108" s="296">
        <v>200</v>
      </c>
      <c r="L108" s="212" t="e">
        <f t="shared" si="5"/>
        <v>#DIV/0!</v>
      </c>
      <c r="M108" s="297" t="e">
        <f>IF(K108="nio",0,IF(K108&gt;0,VLOOKUP(G108,'3-Productie normen'!A:L,VLOOKUP(K108,'3-Productie normen'!$B$30:$C$36,2,FALSE),FALSE)))/VLOOKUP(B108,'2-Kosten per locatie'!$A$14:$C$26,3,FALSE)</f>
        <v>#DIV/0!</v>
      </c>
      <c r="N108" s="298"/>
      <c r="P108" s="299">
        <f t="shared" si="7"/>
        <v>1900</v>
      </c>
    </row>
    <row r="109" spans="1:16" ht="14.1" customHeight="1">
      <c r="A109" s="35">
        <v>109</v>
      </c>
      <c r="B109" s="249" t="s">
        <v>35</v>
      </c>
      <c r="C109" s="293"/>
      <c r="D109" s="434" t="s">
        <v>95</v>
      </c>
      <c r="E109" s="294"/>
      <c r="F109" s="250" t="s">
        <v>178</v>
      </c>
      <c r="G109" s="276" t="s">
        <v>62</v>
      </c>
      <c r="H109" s="237" t="s">
        <v>144</v>
      </c>
      <c r="I109" s="252">
        <v>24.75</v>
      </c>
      <c r="J109" s="295">
        <f t="shared" si="4"/>
        <v>200</v>
      </c>
      <c r="K109" s="296">
        <v>200</v>
      </c>
      <c r="L109" s="212" t="e">
        <f t="shared" si="5"/>
        <v>#DIV/0!</v>
      </c>
      <c r="M109" s="297" t="e">
        <f>IF(K109="nio",0,IF(K109&gt;0,VLOOKUP(G109,'3-Productie normen'!A:L,VLOOKUP(K109,'3-Productie normen'!$B$30:$C$36,2,FALSE),FALSE)))/VLOOKUP(B109,'2-Kosten per locatie'!$A$14:$C$26,3,FALSE)</f>
        <v>#DIV/0!</v>
      </c>
      <c r="N109" s="298"/>
      <c r="P109" s="299">
        <f t="shared" si="7"/>
        <v>4950</v>
      </c>
    </row>
    <row r="110" spans="1:16" ht="14.1" customHeight="1">
      <c r="A110" s="35">
        <v>110</v>
      </c>
      <c r="B110" s="249" t="s">
        <v>35</v>
      </c>
      <c r="C110" s="293"/>
      <c r="D110" s="434" t="s">
        <v>95</v>
      </c>
      <c r="E110" s="294"/>
      <c r="F110" s="251" t="s">
        <v>179</v>
      </c>
      <c r="G110" s="276" t="s">
        <v>59</v>
      </c>
      <c r="H110" s="237" t="s">
        <v>144</v>
      </c>
      <c r="I110" s="252">
        <v>1</v>
      </c>
      <c r="J110" s="295">
        <f t="shared" si="4"/>
        <v>200</v>
      </c>
      <c r="K110" s="296">
        <v>200</v>
      </c>
      <c r="L110" s="212" t="e">
        <f t="shared" si="5"/>
        <v>#DIV/0!</v>
      </c>
      <c r="M110" s="297" t="e">
        <f>IF(K110="nio",0,IF(K110&gt;0,VLOOKUP(G110,'3-Productie normen'!A:L,VLOOKUP(K110,'3-Productie normen'!$B$30:$C$36,2,FALSE),FALSE)))/VLOOKUP(B110,'2-Kosten per locatie'!$A$14:$C$26,3,FALSE)</f>
        <v>#DIV/0!</v>
      </c>
      <c r="N110" s="298"/>
      <c r="P110" s="299">
        <f t="shared" si="7"/>
        <v>200</v>
      </c>
    </row>
    <row r="111" spans="1:16" ht="14.1" customHeight="1">
      <c r="A111" s="35">
        <v>111</v>
      </c>
      <c r="B111" s="249" t="s">
        <v>35</v>
      </c>
      <c r="C111" s="293"/>
      <c r="D111" s="434" t="s">
        <v>95</v>
      </c>
      <c r="E111" s="294"/>
      <c r="F111" s="250" t="s">
        <v>180</v>
      </c>
      <c r="G111" s="276" t="s">
        <v>69</v>
      </c>
      <c r="H111" s="237" t="s">
        <v>144</v>
      </c>
      <c r="I111" s="252">
        <v>9.5</v>
      </c>
      <c r="J111" s="295">
        <f t="shared" si="4"/>
        <v>200</v>
      </c>
      <c r="K111" s="296">
        <v>200</v>
      </c>
      <c r="L111" s="212" t="e">
        <f t="shared" si="5"/>
        <v>#DIV/0!</v>
      </c>
      <c r="M111" s="297" t="e">
        <f>IF(K111="nio",0,IF(K111&gt;0,VLOOKUP(G111,'3-Productie normen'!A:L,VLOOKUP(K111,'3-Productie normen'!$B$30:$C$36,2,FALSE),FALSE)))/VLOOKUP(B111,'2-Kosten per locatie'!$A$14:$C$26,3,FALSE)</f>
        <v>#DIV/0!</v>
      </c>
      <c r="N111" s="298"/>
      <c r="P111" s="299">
        <f t="shared" si="7"/>
        <v>1900</v>
      </c>
    </row>
    <row r="112" spans="1:16" ht="14.1" customHeight="1">
      <c r="A112" s="35">
        <v>112</v>
      </c>
      <c r="B112" s="425" t="s">
        <v>35</v>
      </c>
      <c r="C112" s="293"/>
      <c r="D112" s="434" t="s">
        <v>95</v>
      </c>
      <c r="E112" s="294"/>
      <c r="F112" s="250" t="s">
        <v>154</v>
      </c>
      <c r="G112" s="237" t="s">
        <v>58</v>
      </c>
      <c r="H112" s="237" t="s">
        <v>144</v>
      </c>
      <c r="I112" s="252">
        <v>4.75</v>
      </c>
      <c r="J112" s="295">
        <f t="shared" si="4"/>
        <v>200</v>
      </c>
      <c r="K112" s="296">
        <v>200</v>
      </c>
      <c r="L112" s="212" t="e">
        <f t="shared" si="5"/>
        <v>#DIV/0!</v>
      </c>
      <c r="M112" s="297" t="e">
        <f>IF(K112="nio",0,IF(K112&gt;0,VLOOKUP(G112,'3-Productie normen'!A:L,VLOOKUP(K112,'3-Productie normen'!$B$30:$C$36,2,FALSE),FALSE)))/VLOOKUP(B112,'2-Kosten per locatie'!$A$14:$C$26,3,FALSE)</f>
        <v>#DIV/0!</v>
      </c>
      <c r="N112" s="298"/>
      <c r="P112" s="299">
        <f t="shared" si="7"/>
        <v>950</v>
      </c>
    </row>
    <row r="113" spans="1:16" ht="14.1" customHeight="1">
      <c r="A113" s="35">
        <v>113</v>
      </c>
      <c r="B113" s="249" t="s">
        <v>35</v>
      </c>
      <c r="C113" s="293"/>
      <c r="D113" s="434" t="s">
        <v>95</v>
      </c>
      <c r="E113" s="294"/>
      <c r="F113" s="250" t="s">
        <v>181</v>
      </c>
      <c r="G113" s="276" t="s">
        <v>59</v>
      </c>
      <c r="H113" s="237" t="s">
        <v>144</v>
      </c>
      <c r="I113" s="252">
        <v>4.75</v>
      </c>
      <c r="J113" s="295">
        <f t="shared" si="4"/>
        <v>200</v>
      </c>
      <c r="K113" s="296">
        <v>200</v>
      </c>
      <c r="L113" s="212" t="e">
        <f t="shared" si="5"/>
        <v>#DIV/0!</v>
      </c>
      <c r="M113" s="297" t="e">
        <f>IF(K113="nio",0,IF(K113&gt;0,VLOOKUP(G113,'3-Productie normen'!A:L,VLOOKUP(K113,'3-Productie normen'!$B$30:$C$36,2,FALSE),FALSE)))/VLOOKUP(B113,'2-Kosten per locatie'!$A$14:$C$26,3,FALSE)</f>
        <v>#DIV/0!</v>
      </c>
      <c r="N113" s="298"/>
      <c r="P113" s="299">
        <f t="shared" si="7"/>
        <v>950</v>
      </c>
    </row>
    <row r="114" spans="1:16" ht="14.1" customHeight="1">
      <c r="A114" s="35">
        <v>114</v>
      </c>
      <c r="B114" s="249" t="s">
        <v>35</v>
      </c>
      <c r="C114" s="293"/>
      <c r="D114" s="434" t="s">
        <v>95</v>
      </c>
      <c r="E114" s="294"/>
      <c r="F114" s="250" t="s">
        <v>182</v>
      </c>
      <c r="G114" s="293" t="s">
        <v>58</v>
      </c>
      <c r="H114" s="237" t="s">
        <v>144</v>
      </c>
      <c r="I114" s="252">
        <v>18</v>
      </c>
      <c r="J114" s="295">
        <f t="shared" si="4"/>
        <v>200</v>
      </c>
      <c r="K114" s="296">
        <v>200</v>
      </c>
      <c r="L114" s="212" t="e">
        <f t="shared" si="5"/>
        <v>#DIV/0!</v>
      </c>
      <c r="M114" s="297" t="e">
        <f>IF(K114="nio",0,IF(K114&gt;0,VLOOKUP(G114,'3-Productie normen'!A:L,VLOOKUP(K114,'3-Productie normen'!$B$30:$C$36,2,FALSE),FALSE)))/VLOOKUP(B114,'2-Kosten per locatie'!$A$14:$C$26,3,FALSE)</f>
        <v>#DIV/0!</v>
      </c>
      <c r="N114" s="298"/>
      <c r="P114" s="299">
        <f t="shared" si="7"/>
        <v>3600</v>
      </c>
    </row>
    <row r="115" spans="1:16" ht="14.1" customHeight="1">
      <c r="A115" s="35">
        <v>115</v>
      </c>
      <c r="B115" s="249" t="s">
        <v>35</v>
      </c>
      <c r="C115" s="293"/>
      <c r="D115" s="434" t="s">
        <v>95</v>
      </c>
      <c r="E115" s="294"/>
      <c r="F115" s="250" t="s">
        <v>96</v>
      </c>
      <c r="G115" s="237" t="s">
        <v>70</v>
      </c>
      <c r="H115" s="237" t="s">
        <v>152</v>
      </c>
      <c r="I115" s="252">
        <v>4.25</v>
      </c>
      <c r="J115" s="295">
        <f t="shared" si="4"/>
        <v>0</v>
      </c>
      <c r="K115" s="296" t="s">
        <v>385</v>
      </c>
      <c r="L115" s="212">
        <f t="shared" si="5"/>
        <v>0</v>
      </c>
      <c r="M115" s="297" t="e">
        <f>IF(K115="nio",0,IF(K115&gt;0,VLOOKUP(G115,'3-Productie normen'!A:L,VLOOKUP(K115,'3-Productie normen'!$B$30:$C$36,2,FALSE),FALSE)))/VLOOKUP(B115,'2-Kosten per locatie'!$A$14:$C$26,3,FALSE)</f>
        <v>#DIV/0!</v>
      </c>
      <c r="N115" s="298"/>
      <c r="P115" s="299">
        <f t="shared" si="7"/>
        <v>0</v>
      </c>
    </row>
    <row r="116" spans="1:16" ht="14.1" customHeight="1">
      <c r="A116" s="35">
        <v>116</v>
      </c>
      <c r="B116" s="249" t="s">
        <v>35</v>
      </c>
      <c r="C116" s="293"/>
      <c r="D116" s="434" t="s">
        <v>95</v>
      </c>
      <c r="E116" s="294"/>
      <c r="F116" s="250" t="s">
        <v>183</v>
      </c>
      <c r="G116" s="48" t="s">
        <v>60</v>
      </c>
      <c r="H116" s="237" t="s">
        <v>152</v>
      </c>
      <c r="I116" s="252">
        <v>24.5</v>
      </c>
      <c r="J116" s="295">
        <f t="shared" si="4"/>
        <v>200</v>
      </c>
      <c r="K116" s="296">
        <v>200</v>
      </c>
      <c r="L116" s="212" t="e">
        <f t="shared" si="5"/>
        <v>#DIV/0!</v>
      </c>
      <c r="M116" s="297" t="e">
        <f>IF(K116="nio",0,IF(K116&gt;0,VLOOKUP(G116,'3-Productie normen'!A:L,VLOOKUP(K116,'3-Productie normen'!$B$30:$C$36,2,FALSE),FALSE)))/VLOOKUP(B116,'2-Kosten per locatie'!$A$14:$C$26,3,FALSE)</f>
        <v>#DIV/0!</v>
      </c>
      <c r="N116" s="298"/>
      <c r="P116" s="299">
        <f t="shared" si="7"/>
        <v>4900</v>
      </c>
    </row>
    <row r="117" spans="1:16" ht="14.1" customHeight="1">
      <c r="A117" s="35">
        <v>117</v>
      </c>
      <c r="B117" s="249" t="s">
        <v>35</v>
      </c>
      <c r="C117" s="293"/>
      <c r="D117" s="434" t="s">
        <v>95</v>
      </c>
      <c r="E117" s="294"/>
      <c r="F117" s="250" t="s">
        <v>184</v>
      </c>
      <c r="G117" s="237" t="s">
        <v>68</v>
      </c>
      <c r="H117" s="237" t="s">
        <v>185</v>
      </c>
      <c r="I117" s="252">
        <v>1.6</v>
      </c>
      <c r="J117" s="295">
        <f t="shared" si="4"/>
        <v>200</v>
      </c>
      <c r="K117" s="296">
        <v>200</v>
      </c>
      <c r="L117" s="212" t="e">
        <f t="shared" si="5"/>
        <v>#DIV/0!</v>
      </c>
      <c r="M117" s="297" t="e">
        <f>IF(K117="nio",0,IF(K117&gt;0,VLOOKUP(G117,'3-Productie normen'!A:L,VLOOKUP(K117,'3-Productie normen'!$B$30:$C$36,2,FALSE),FALSE)))/VLOOKUP(B117,'2-Kosten per locatie'!$A$14:$C$26,3,FALSE)</f>
        <v>#DIV/0!</v>
      </c>
      <c r="N117" s="298"/>
      <c r="P117" s="299">
        <f t="shared" si="7"/>
        <v>320</v>
      </c>
    </row>
    <row r="118" spans="1:16" ht="14.1" customHeight="1">
      <c r="A118" s="35">
        <v>118</v>
      </c>
      <c r="B118" s="249" t="s">
        <v>35</v>
      </c>
      <c r="C118" s="293"/>
      <c r="D118" s="434" t="s">
        <v>95</v>
      </c>
      <c r="E118" s="294"/>
      <c r="F118" s="250" t="s">
        <v>186</v>
      </c>
      <c r="G118" s="237" t="s">
        <v>70</v>
      </c>
      <c r="H118" s="237" t="s">
        <v>152</v>
      </c>
      <c r="I118" s="252">
        <v>12.7</v>
      </c>
      <c r="J118" s="295">
        <f t="shared" si="4"/>
        <v>0</v>
      </c>
      <c r="K118" s="296" t="s">
        <v>385</v>
      </c>
      <c r="L118" s="212">
        <f t="shared" si="5"/>
        <v>0</v>
      </c>
      <c r="M118" s="297" t="e">
        <f>IF(K118="nio",0,IF(K118&gt;0,VLOOKUP(G118,'3-Productie normen'!A:L,VLOOKUP(K118,'3-Productie normen'!$B$30:$C$36,2,FALSE),FALSE)))/VLOOKUP(B118,'2-Kosten per locatie'!$A$14:$C$26,3,FALSE)</f>
        <v>#DIV/0!</v>
      </c>
      <c r="N118" s="298"/>
      <c r="P118" s="299">
        <f t="shared" si="7"/>
        <v>0</v>
      </c>
    </row>
    <row r="119" spans="1:16" ht="14.1" customHeight="1">
      <c r="A119" s="35">
        <v>119</v>
      </c>
      <c r="B119" s="249" t="s">
        <v>35</v>
      </c>
      <c r="C119" s="293"/>
      <c r="D119" s="434" t="s">
        <v>95</v>
      </c>
      <c r="E119" s="47"/>
      <c r="F119" s="250" t="s">
        <v>187</v>
      </c>
      <c r="G119" s="237" t="s">
        <v>70</v>
      </c>
      <c r="H119" s="48" t="s">
        <v>152</v>
      </c>
      <c r="I119" s="252">
        <v>2.85</v>
      </c>
      <c r="J119" s="295">
        <f t="shared" si="4"/>
        <v>0</v>
      </c>
      <c r="K119" s="296" t="s">
        <v>385</v>
      </c>
      <c r="L119" s="212">
        <f t="shared" si="5"/>
        <v>0</v>
      </c>
      <c r="M119" s="297" t="e">
        <f>IF(K119="nio",0,IF(K119&gt;0,VLOOKUP(G119,'3-Productie normen'!A:L,VLOOKUP(K119,'3-Productie normen'!$B$30:$C$36,2,FALSE),FALSE)))/VLOOKUP(B119,'2-Kosten per locatie'!$A$14:$C$26,3,FALSE)</f>
        <v>#DIV/0!</v>
      </c>
      <c r="N119" s="298"/>
      <c r="P119" s="299">
        <f t="shared" si="7"/>
        <v>0</v>
      </c>
    </row>
    <row r="120" spans="1:16" ht="14.1" customHeight="1">
      <c r="A120" s="35">
        <v>120</v>
      </c>
      <c r="B120" s="249" t="s">
        <v>35</v>
      </c>
      <c r="C120" s="293"/>
      <c r="D120" s="434" t="s">
        <v>118</v>
      </c>
      <c r="E120" s="294"/>
      <c r="F120" s="250" t="s">
        <v>119</v>
      </c>
      <c r="G120" s="237" t="s">
        <v>67</v>
      </c>
      <c r="H120" s="237" t="s">
        <v>106</v>
      </c>
      <c r="I120" s="252">
        <v>15.65</v>
      </c>
      <c r="J120" s="295">
        <f t="shared" si="4"/>
        <v>200</v>
      </c>
      <c r="K120" s="296">
        <v>200</v>
      </c>
      <c r="L120" s="212" t="e">
        <f t="shared" si="5"/>
        <v>#DIV/0!</v>
      </c>
      <c r="M120" s="297" t="e">
        <f>IF(K120="nio",0,IF(K120&gt;0,VLOOKUP(G120,'3-Productie normen'!A:L,VLOOKUP(K120,'3-Productie normen'!$B$30:$C$36,2,FALSE),FALSE)))/VLOOKUP(B120,'2-Kosten per locatie'!$A$14:$C$26,3,FALSE)</f>
        <v>#DIV/0!</v>
      </c>
      <c r="N120" s="298"/>
      <c r="P120" s="299">
        <f t="shared" si="7"/>
        <v>3130</v>
      </c>
    </row>
    <row r="121" spans="1:16" ht="14.1" customHeight="1">
      <c r="A121" s="35">
        <v>121</v>
      </c>
      <c r="B121" s="249" t="s">
        <v>35</v>
      </c>
      <c r="C121" s="293"/>
      <c r="D121" s="434" t="s">
        <v>110</v>
      </c>
      <c r="E121" s="294"/>
      <c r="F121" s="250" t="s">
        <v>135</v>
      </c>
      <c r="G121" s="237" t="s">
        <v>60</v>
      </c>
      <c r="H121" s="237" t="s">
        <v>152</v>
      </c>
      <c r="I121" s="252">
        <v>12</v>
      </c>
      <c r="J121" s="295">
        <f t="shared" si="4"/>
        <v>200</v>
      </c>
      <c r="K121" s="296">
        <v>200</v>
      </c>
      <c r="L121" s="212" t="e">
        <f t="shared" si="5"/>
        <v>#DIV/0!</v>
      </c>
      <c r="M121" s="297" t="e">
        <f>IF(K121="nio",0,IF(K121&gt;0,VLOOKUP(G121,'3-Productie normen'!A:L,VLOOKUP(K121,'3-Productie normen'!$B$30:$C$36,2,FALSE),FALSE)))/VLOOKUP(B121,'2-Kosten per locatie'!$A$14:$C$26,3,FALSE)</f>
        <v>#DIV/0!</v>
      </c>
      <c r="N121" s="298"/>
      <c r="P121" s="299">
        <f t="shared" si="7"/>
        <v>2400</v>
      </c>
    </row>
    <row r="122" spans="1:16" ht="14.1" customHeight="1">
      <c r="A122" s="35">
        <v>122</v>
      </c>
      <c r="B122" s="425" t="s">
        <v>35</v>
      </c>
      <c r="C122" s="293"/>
      <c r="D122" s="434" t="s">
        <v>110</v>
      </c>
      <c r="E122" s="294"/>
      <c r="F122" s="250" t="s">
        <v>188</v>
      </c>
      <c r="G122" s="237" t="s">
        <v>386</v>
      </c>
      <c r="H122" s="237" t="s">
        <v>152</v>
      </c>
      <c r="I122" s="252">
        <v>67.5</v>
      </c>
      <c r="J122" s="295">
        <f t="shared" si="4"/>
        <v>200</v>
      </c>
      <c r="K122" s="296">
        <v>200</v>
      </c>
      <c r="L122" s="212" t="e">
        <f t="shared" si="5"/>
        <v>#DIV/0!</v>
      </c>
      <c r="M122" s="297" t="e">
        <f>IF(K122="nio",0,IF(K122&gt;0,VLOOKUP(G122,'3-Productie normen'!A:L,VLOOKUP(K122,'3-Productie normen'!$B$30:$C$36,2,FALSE),FALSE)))/VLOOKUP(B122,'2-Kosten per locatie'!$A$14:$C$26,3,FALSE)</f>
        <v>#DIV/0!</v>
      </c>
      <c r="N122" s="298"/>
      <c r="P122" s="299">
        <f t="shared" si="7"/>
        <v>13500</v>
      </c>
    </row>
    <row r="123" spans="1:16" ht="14.1" customHeight="1">
      <c r="A123" s="35">
        <v>123</v>
      </c>
      <c r="B123" s="249" t="s">
        <v>35</v>
      </c>
      <c r="C123" s="293"/>
      <c r="D123" s="434" t="s">
        <v>110</v>
      </c>
      <c r="E123" s="294"/>
      <c r="F123" s="251" t="s">
        <v>119</v>
      </c>
      <c r="G123" s="237" t="s">
        <v>67</v>
      </c>
      <c r="H123" s="237" t="s">
        <v>152</v>
      </c>
      <c r="I123" s="252">
        <v>3.35</v>
      </c>
      <c r="J123" s="295">
        <f t="shared" si="4"/>
        <v>200</v>
      </c>
      <c r="K123" s="296">
        <v>200</v>
      </c>
      <c r="L123" s="212" t="e">
        <f t="shared" si="5"/>
        <v>#DIV/0!</v>
      </c>
      <c r="M123" s="297" t="e">
        <f>IF(K123="nio",0,IF(K123&gt;0,VLOOKUP(G123,'3-Productie normen'!A:L,VLOOKUP(K123,'3-Productie normen'!$B$30:$C$36,2,FALSE),FALSE)))/VLOOKUP(B123,'2-Kosten per locatie'!$A$14:$C$26,3,FALSE)</f>
        <v>#DIV/0!</v>
      </c>
      <c r="N123" s="298"/>
      <c r="P123" s="299">
        <f t="shared" si="7"/>
        <v>670</v>
      </c>
    </row>
    <row r="124" spans="1:16" ht="14.1" customHeight="1">
      <c r="A124" s="35">
        <v>124</v>
      </c>
      <c r="B124" s="425" t="s">
        <v>35</v>
      </c>
      <c r="C124" s="293"/>
      <c r="D124" s="434" t="s">
        <v>110</v>
      </c>
      <c r="E124" s="294"/>
      <c r="F124" s="250" t="s">
        <v>189</v>
      </c>
      <c r="G124" s="237" t="s">
        <v>386</v>
      </c>
      <c r="H124" s="237" t="s">
        <v>152</v>
      </c>
      <c r="I124" s="252">
        <v>66</v>
      </c>
      <c r="J124" s="295">
        <f t="shared" si="4"/>
        <v>200</v>
      </c>
      <c r="K124" s="296">
        <v>200</v>
      </c>
      <c r="L124" s="212" t="e">
        <f t="shared" si="5"/>
        <v>#DIV/0!</v>
      </c>
      <c r="M124" s="297" t="e">
        <f>IF(K124="nio",0,IF(K124&gt;0,VLOOKUP(G124,'3-Productie normen'!A:L,VLOOKUP(K124,'3-Productie normen'!$B$30:$C$36,2,FALSE),FALSE)))/VLOOKUP(B124,'2-Kosten per locatie'!$A$14:$C$26,3,FALSE)</f>
        <v>#DIV/0!</v>
      </c>
      <c r="N124" s="298"/>
      <c r="P124" s="299">
        <f t="shared" si="7"/>
        <v>13200</v>
      </c>
    </row>
    <row r="125" spans="1:16" ht="14.1" customHeight="1">
      <c r="A125" s="35">
        <v>125</v>
      </c>
      <c r="B125" s="425" t="s">
        <v>35</v>
      </c>
      <c r="C125" s="293"/>
      <c r="D125" s="434" t="s">
        <v>110</v>
      </c>
      <c r="E125" s="294"/>
      <c r="F125" s="250" t="s">
        <v>190</v>
      </c>
      <c r="G125" s="237" t="s">
        <v>386</v>
      </c>
      <c r="H125" s="237" t="s">
        <v>152</v>
      </c>
      <c r="I125" s="252">
        <v>42</v>
      </c>
      <c r="J125" s="295">
        <f t="shared" si="4"/>
        <v>200</v>
      </c>
      <c r="K125" s="296">
        <v>200</v>
      </c>
      <c r="L125" s="212" t="e">
        <f t="shared" si="5"/>
        <v>#DIV/0!</v>
      </c>
      <c r="M125" s="297" t="e">
        <f>IF(K125="nio",0,IF(K125&gt;0,VLOOKUP(G125,'3-Productie normen'!A:L,VLOOKUP(K125,'3-Productie normen'!$B$30:$C$36,2,FALSE),FALSE)))/VLOOKUP(B125,'2-Kosten per locatie'!$A$14:$C$26,3,FALSE)</f>
        <v>#DIV/0!</v>
      </c>
      <c r="N125" s="298"/>
      <c r="P125" s="299">
        <f t="shared" si="7"/>
        <v>8400</v>
      </c>
    </row>
    <row r="126" spans="1:16" ht="14.1" customHeight="1">
      <c r="A126" s="35">
        <v>126</v>
      </c>
      <c r="B126" s="249" t="s">
        <v>35</v>
      </c>
      <c r="C126" s="293"/>
      <c r="D126" s="434" t="s">
        <v>110</v>
      </c>
      <c r="E126" s="294"/>
      <c r="F126" s="250" t="s">
        <v>117</v>
      </c>
      <c r="G126" s="237" t="s">
        <v>61</v>
      </c>
      <c r="H126" s="237" t="s">
        <v>152</v>
      </c>
      <c r="I126" s="252">
        <v>102</v>
      </c>
      <c r="J126" s="295">
        <f t="shared" si="4"/>
        <v>200</v>
      </c>
      <c r="K126" s="296">
        <v>200</v>
      </c>
      <c r="L126" s="212" t="e">
        <f t="shared" si="5"/>
        <v>#DIV/0!</v>
      </c>
      <c r="M126" s="297" t="e">
        <f>IF(K126="nio",0,IF(K126&gt;0,VLOOKUP(G126,'3-Productie normen'!A:L,VLOOKUP(K126,'3-Productie normen'!$B$30:$C$36,2,FALSE),FALSE)))/VLOOKUP(B126,'2-Kosten per locatie'!$A$14:$C$26,3,FALSE)</f>
        <v>#DIV/0!</v>
      </c>
      <c r="N126" s="298"/>
      <c r="P126" s="299">
        <f t="shared" si="7"/>
        <v>20400</v>
      </c>
    </row>
    <row r="127" spans="1:16" ht="14.1" customHeight="1">
      <c r="A127" s="35">
        <v>127</v>
      </c>
      <c r="B127" s="249" t="s">
        <v>35</v>
      </c>
      <c r="C127" s="293"/>
      <c r="D127" s="434" t="s">
        <v>110</v>
      </c>
      <c r="E127" s="294"/>
      <c r="F127" s="250" t="s">
        <v>191</v>
      </c>
      <c r="G127" s="237" t="s">
        <v>63</v>
      </c>
      <c r="H127" s="237" t="s">
        <v>151</v>
      </c>
      <c r="I127" s="252">
        <v>16</v>
      </c>
      <c r="J127" s="295">
        <f t="shared" si="4"/>
        <v>200</v>
      </c>
      <c r="K127" s="296">
        <v>200</v>
      </c>
      <c r="L127" s="212" t="e">
        <f t="shared" si="5"/>
        <v>#DIV/0!</v>
      </c>
      <c r="M127" s="297" t="e">
        <f>IF(K127="nio",0,IF(K127&gt;0,VLOOKUP(G127,'3-Productie normen'!A:L,VLOOKUP(K127,'3-Productie normen'!$B$30:$C$36,2,FALSE),FALSE)))/VLOOKUP(B127,'2-Kosten per locatie'!$A$14:$C$26,3,FALSE)</f>
        <v>#DIV/0!</v>
      </c>
      <c r="N127" s="298"/>
      <c r="P127" s="299">
        <f t="shared" si="7"/>
        <v>3200</v>
      </c>
    </row>
    <row r="128" spans="1:16" ht="14.1" customHeight="1">
      <c r="A128" s="35">
        <v>128</v>
      </c>
      <c r="B128" s="249" t="s">
        <v>35</v>
      </c>
      <c r="C128" s="293"/>
      <c r="D128" s="434" t="s">
        <v>110</v>
      </c>
      <c r="E128" s="294"/>
      <c r="F128" s="250" t="s">
        <v>192</v>
      </c>
      <c r="G128" s="237" t="s">
        <v>63</v>
      </c>
      <c r="H128" s="237" t="s">
        <v>151</v>
      </c>
      <c r="I128" s="252">
        <v>26</v>
      </c>
      <c r="J128" s="295">
        <f t="shared" si="4"/>
        <v>200</v>
      </c>
      <c r="K128" s="296">
        <v>200</v>
      </c>
      <c r="L128" s="212" t="e">
        <f t="shared" si="5"/>
        <v>#DIV/0!</v>
      </c>
      <c r="M128" s="297" t="e">
        <f>IF(K128="nio",0,IF(K128&gt;0,VLOOKUP(G128,'3-Productie normen'!A:L,VLOOKUP(K128,'3-Productie normen'!$B$30:$C$36,2,FALSE),FALSE)))/VLOOKUP(B128,'2-Kosten per locatie'!$A$14:$C$26,3,FALSE)</f>
        <v>#DIV/0!</v>
      </c>
      <c r="N128" s="298"/>
      <c r="P128" s="299">
        <f t="shared" si="7"/>
        <v>5200</v>
      </c>
    </row>
    <row r="129" spans="1:16" ht="14.1" customHeight="1">
      <c r="A129" s="35">
        <v>129</v>
      </c>
      <c r="B129" s="249" t="s">
        <v>36</v>
      </c>
      <c r="C129" s="293"/>
      <c r="D129" s="434" t="s">
        <v>95</v>
      </c>
      <c r="E129" s="294"/>
      <c r="F129" s="250" t="s">
        <v>193</v>
      </c>
      <c r="G129" s="276" t="s">
        <v>58</v>
      </c>
      <c r="H129" s="237" t="s">
        <v>151</v>
      </c>
      <c r="I129" s="252">
        <v>36.200000000000003</v>
      </c>
      <c r="J129" s="295">
        <f t="shared" si="4"/>
        <v>255</v>
      </c>
      <c r="K129" s="296">
        <v>255</v>
      </c>
      <c r="L129" s="212" t="e">
        <f t="shared" si="5"/>
        <v>#DIV/0!</v>
      </c>
      <c r="M129" s="297" t="e">
        <f>IF(K129="nio",0,IF(K129&gt;0,VLOOKUP(G129,'3-Productie normen'!A:L,VLOOKUP(K129,'3-Productie normen'!$B$30:$C$36,2,FALSE),FALSE)))/VLOOKUP(B129,'2-Kosten per locatie'!$A$14:$C$26,3,FALSE)</f>
        <v>#DIV/0!</v>
      </c>
      <c r="N129" s="298"/>
      <c r="P129" s="299">
        <f t="shared" si="7"/>
        <v>9231</v>
      </c>
    </row>
    <row r="130" spans="1:16" ht="14.1" customHeight="1">
      <c r="A130" s="35">
        <v>130</v>
      </c>
      <c r="B130" s="425" t="s">
        <v>36</v>
      </c>
      <c r="C130" s="293"/>
      <c r="D130" s="434" t="s">
        <v>95</v>
      </c>
      <c r="E130" s="294"/>
      <c r="F130" s="250" t="s">
        <v>194</v>
      </c>
      <c r="G130" s="237" t="s">
        <v>60</v>
      </c>
      <c r="H130" s="237" t="s">
        <v>112</v>
      </c>
      <c r="I130" s="252">
        <v>65</v>
      </c>
      <c r="J130" s="295">
        <f t="shared" si="4"/>
        <v>255</v>
      </c>
      <c r="K130" s="296">
        <v>255</v>
      </c>
      <c r="L130" s="212" t="e">
        <f t="shared" si="5"/>
        <v>#DIV/0!</v>
      </c>
      <c r="M130" s="297" t="e">
        <f>IF(K130="nio",0,IF(K130&gt;0,VLOOKUP(G130,'3-Productie normen'!A:L,VLOOKUP(K130,'3-Productie normen'!$B$30:$C$36,2,FALSE),FALSE)))/VLOOKUP(B130,'2-Kosten per locatie'!$A$14:$C$26,3,FALSE)</f>
        <v>#DIV/0!</v>
      </c>
      <c r="N130" s="298"/>
      <c r="P130" s="299">
        <f t="shared" si="7"/>
        <v>16575</v>
      </c>
    </row>
    <row r="131" spans="1:16" ht="14.1" customHeight="1">
      <c r="A131" s="35">
        <v>131</v>
      </c>
      <c r="B131" s="249" t="s">
        <v>36</v>
      </c>
      <c r="C131" s="293"/>
      <c r="D131" s="434" t="s">
        <v>95</v>
      </c>
      <c r="E131" s="294"/>
      <c r="F131" s="250" t="s">
        <v>195</v>
      </c>
      <c r="G131" s="237" t="s">
        <v>63</v>
      </c>
      <c r="H131" s="237" t="s">
        <v>112</v>
      </c>
      <c r="I131" s="252">
        <v>16.8</v>
      </c>
      <c r="J131" s="295">
        <f t="shared" si="4"/>
        <v>255</v>
      </c>
      <c r="K131" s="296">
        <v>255</v>
      </c>
      <c r="L131" s="212" t="e">
        <f t="shared" si="5"/>
        <v>#DIV/0!</v>
      </c>
      <c r="M131" s="297" t="e">
        <f>IF(K131="nio",0,IF(K131&gt;0,VLOOKUP(G131,'3-Productie normen'!A:L,VLOOKUP(K131,'3-Productie normen'!$B$30:$C$36,2,FALSE),FALSE)))/VLOOKUP(B131,'2-Kosten per locatie'!$A$14:$C$26,3,FALSE)</f>
        <v>#DIV/0!</v>
      </c>
      <c r="N131" s="298"/>
      <c r="P131" s="299">
        <f t="shared" si="7"/>
        <v>4284</v>
      </c>
    </row>
    <row r="132" spans="1:16" ht="14.1" customHeight="1">
      <c r="A132" s="35">
        <v>132</v>
      </c>
      <c r="B132" s="249" t="s">
        <v>36</v>
      </c>
      <c r="C132" s="293"/>
      <c r="D132" s="434" t="s">
        <v>95</v>
      </c>
      <c r="E132" s="294"/>
      <c r="F132" s="250" t="s">
        <v>196</v>
      </c>
      <c r="G132" s="237" t="s">
        <v>63</v>
      </c>
      <c r="H132" s="237" t="s">
        <v>112</v>
      </c>
      <c r="I132" s="252">
        <v>16.8</v>
      </c>
      <c r="J132" s="295">
        <f t="shared" si="4"/>
        <v>255</v>
      </c>
      <c r="K132" s="296">
        <v>255</v>
      </c>
      <c r="L132" s="212" t="e">
        <f t="shared" si="5"/>
        <v>#DIV/0!</v>
      </c>
      <c r="M132" s="297" t="e">
        <f>IF(K132="nio",0,IF(K132&gt;0,VLOOKUP(G132,'3-Productie normen'!A:L,VLOOKUP(K132,'3-Productie normen'!$B$30:$C$36,2,FALSE),FALSE)))/VLOOKUP(B132,'2-Kosten per locatie'!$A$14:$C$26,3,FALSE)</f>
        <v>#DIV/0!</v>
      </c>
      <c r="N132" s="298"/>
      <c r="P132" s="299">
        <f t="shared" si="7"/>
        <v>4284</v>
      </c>
    </row>
    <row r="133" spans="1:16" ht="14.1" customHeight="1">
      <c r="A133" s="35">
        <v>133</v>
      </c>
      <c r="B133" s="249" t="s">
        <v>36</v>
      </c>
      <c r="C133" s="293"/>
      <c r="D133" s="434" t="s">
        <v>95</v>
      </c>
      <c r="E133" s="294"/>
      <c r="F133" s="250" t="s">
        <v>197</v>
      </c>
      <c r="G133" s="237" t="s">
        <v>63</v>
      </c>
      <c r="H133" s="237" t="s">
        <v>112</v>
      </c>
      <c r="I133" s="252">
        <v>16.8</v>
      </c>
      <c r="J133" s="295">
        <f t="shared" si="4"/>
        <v>255</v>
      </c>
      <c r="K133" s="296">
        <v>255</v>
      </c>
      <c r="L133" s="212" t="e">
        <f t="shared" si="5"/>
        <v>#DIV/0!</v>
      </c>
      <c r="M133" s="297" t="e">
        <f>IF(K133="nio",0,IF(K133&gt;0,VLOOKUP(G133,'3-Productie normen'!A:L,VLOOKUP(K133,'3-Productie normen'!$B$30:$C$36,2,FALSE),FALSE)))/VLOOKUP(B133,'2-Kosten per locatie'!$A$14:$C$26,3,FALSE)</f>
        <v>#DIV/0!</v>
      </c>
      <c r="N133" s="298"/>
      <c r="P133" s="299">
        <f t="shared" si="7"/>
        <v>4284</v>
      </c>
    </row>
    <row r="134" spans="1:16" ht="14.1" customHeight="1">
      <c r="A134" s="35">
        <v>134</v>
      </c>
      <c r="B134" s="249" t="s">
        <v>36</v>
      </c>
      <c r="C134" s="293"/>
      <c r="D134" s="434" t="s">
        <v>95</v>
      </c>
      <c r="E134" s="294"/>
      <c r="F134" s="250" t="s">
        <v>198</v>
      </c>
      <c r="G134" s="237" t="s">
        <v>63</v>
      </c>
      <c r="H134" s="237" t="s">
        <v>112</v>
      </c>
      <c r="I134" s="252">
        <v>13.5</v>
      </c>
      <c r="J134" s="295">
        <f t="shared" si="4"/>
        <v>255</v>
      </c>
      <c r="K134" s="296">
        <v>255</v>
      </c>
      <c r="L134" s="212" t="e">
        <f t="shared" si="5"/>
        <v>#DIV/0!</v>
      </c>
      <c r="M134" s="297" t="e">
        <f>IF(K134="nio",0,IF(K134&gt;0,VLOOKUP(G134,'3-Productie normen'!A:L,VLOOKUP(K134,'3-Productie normen'!$B$30:$C$36,2,FALSE),FALSE)))/VLOOKUP(B134,'2-Kosten per locatie'!$A$14:$C$26,3,FALSE)</f>
        <v>#DIV/0!</v>
      </c>
      <c r="N134" s="298"/>
      <c r="P134" s="299">
        <f t="shared" si="7"/>
        <v>3442.5</v>
      </c>
    </row>
    <row r="135" spans="1:16" ht="14.1" customHeight="1">
      <c r="A135" s="35">
        <v>135</v>
      </c>
      <c r="B135" s="249" t="s">
        <v>36</v>
      </c>
      <c r="C135" s="293"/>
      <c r="D135" s="434" t="s">
        <v>95</v>
      </c>
      <c r="E135" s="294"/>
      <c r="F135" s="250" t="s">
        <v>98</v>
      </c>
      <c r="G135" s="237" t="s">
        <v>66</v>
      </c>
      <c r="H135" s="237" t="s">
        <v>128</v>
      </c>
      <c r="I135" s="252">
        <v>14.8</v>
      </c>
      <c r="J135" s="295">
        <f t="shared" si="4"/>
        <v>255</v>
      </c>
      <c r="K135" s="296">
        <v>255</v>
      </c>
      <c r="L135" s="212" t="e">
        <f t="shared" si="5"/>
        <v>#DIV/0!</v>
      </c>
      <c r="M135" s="297" t="e">
        <f>IF(K135="nio",0,IF(K135&gt;0,VLOOKUP(G135,'3-Productie normen'!A:L,VLOOKUP(K135,'3-Productie normen'!$B$30:$C$36,2,FALSE),FALSE)))/VLOOKUP(B135,'2-Kosten per locatie'!$A$14:$C$26,3,FALSE)</f>
        <v>#DIV/0!</v>
      </c>
      <c r="N135" s="298"/>
      <c r="P135" s="299">
        <f t="shared" si="7"/>
        <v>3774</v>
      </c>
    </row>
    <row r="136" spans="1:16" ht="14.1" customHeight="1">
      <c r="A136" s="35">
        <v>136</v>
      </c>
      <c r="B136" s="425" t="s">
        <v>36</v>
      </c>
      <c r="C136" s="293"/>
      <c r="D136" s="434" t="s">
        <v>95</v>
      </c>
      <c r="E136" s="294"/>
      <c r="F136" s="250" t="s">
        <v>199</v>
      </c>
      <c r="G136" s="237" t="s">
        <v>58</v>
      </c>
      <c r="H136" s="237" t="s">
        <v>112</v>
      </c>
      <c r="I136" s="252">
        <v>55.3</v>
      </c>
      <c r="J136" s="295">
        <f t="shared" si="4"/>
        <v>255</v>
      </c>
      <c r="K136" s="296">
        <v>255</v>
      </c>
      <c r="L136" s="212" t="e">
        <f t="shared" si="5"/>
        <v>#DIV/0!</v>
      </c>
      <c r="M136" s="297" t="e">
        <f>IF(K136="nio",0,IF(K136&gt;0,VLOOKUP(G136,'3-Productie normen'!A:L,VLOOKUP(K136,'3-Productie normen'!$B$30:$C$36,2,FALSE),FALSE)))/VLOOKUP(B136,'2-Kosten per locatie'!$A$14:$C$26,3,FALSE)</f>
        <v>#DIV/0!</v>
      </c>
      <c r="N136" s="298"/>
      <c r="P136" s="299">
        <f t="shared" si="7"/>
        <v>14101.5</v>
      </c>
    </row>
    <row r="137" spans="1:16" ht="14.1" customHeight="1">
      <c r="A137" s="35">
        <v>137</v>
      </c>
      <c r="B137" s="249" t="s">
        <v>36</v>
      </c>
      <c r="C137" s="293"/>
      <c r="D137" s="434" t="s">
        <v>95</v>
      </c>
      <c r="E137" s="294"/>
      <c r="F137" s="250" t="s">
        <v>129</v>
      </c>
      <c r="G137" s="276" t="s">
        <v>59</v>
      </c>
      <c r="H137" s="301" t="s">
        <v>152</v>
      </c>
      <c r="I137" s="252">
        <v>6.1</v>
      </c>
      <c r="J137" s="295">
        <f t="shared" si="4"/>
        <v>255</v>
      </c>
      <c r="K137" s="296">
        <v>255</v>
      </c>
      <c r="L137" s="212" t="e">
        <f t="shared" si="5"/>
        <v>#DIV/0!</v>
      </c>
      <c r="M137" s="297" t="e">
        <f>IF(K137="nio",0,IF(K137&gt;0,VLOOKUP(G137,'3-Productie normen'!A:L,VLOOKUP(K137,'3-Productie normen'!$B$30:$C$36,2,FALSE),FALSE)))/VLOOKUP(B137,'2-Kosten per locatie'!$A$14:$C$26,3,FALSE)</f>
        <v>#DIV/0!</v>
      </c>
      <c r="N137" s="298"/>
      <c r="P137" s="299">
        <f t="shared" si="7"/>
        <v>1555.5</v>
      </c>
    </row>
    <row r="138" spans="1:16" ht="14.1" customHeight="1">
      <c r="A138" s="35">
        <v>138</v>
      </c>
      <c r="B138" s="249" t="s">
        <v>36</v>
      </c>
      <c r="C138" s="293"/>
      <c r="D138" s="434" t="s">
        <v>95</v>
      </c>
      <c r="E138" s="294"/>
      <c r="F138" s="250" t="s">
        <v>200</v>
      </c>
      <c r="G138" s="276" t="s">
        <v>59</v>
      </c>
      <c r="H138" s="237" t="s">
        <v>112</v>
      </c>
      <c r="I138" s="252">
        <v>3.8</v>
      </c>
      <c r="J138" s="295">
        <f t="shared" ref="J138:J201" si="8">SUM(K138:K138)</f>
        <v>255</v>
      </c>
      <c r="K138" s="296">
        <v>255</v>
      </c>
      <c r="L138" s="212" t="e">
        <f t="shared" ref="L138:L201" si="9">IF(K138="nio",0,IF(K138&gt;0,K138*I138/M138,0))</f>
        <v>#DIV/0!</v>
      </c>
      <c r="M138" s="297" t="e">
        <f>IF(K138="nio",0,IF(K138&gt;0,VLOOKUP(G138,'3-Productie normen'!A:L,VLOOKUP(K138,'3-Productie normen'!$B$30:$C$36,2,FALSE),FALSE)))/VLOOKUP(B138,'2-Kosten per locatie'!$A$14:$C$26,3,FALSE)</f>
        <v>#DIV/0!</v>
      </c>
      <c r="N138" s="298"/>
      <c r="P138" s="299">
        <f t="shared" ref="P138:P169" si="10">J138*I138</f>
        <v>969</v>
      </c>
    </row>
    <row r="139" spans="1:16" ht="14.1" customHeight="1">
      <c r="A139" s="35">
        <v>139</v>
      </c>
      <c r="B139" s="249" t="s">
        <v>36</v>
      </c>
      <c r="C139" s="293"/>
      <c r="D139" s="434" t="s">
        <v>95</v>
      </c>
      <c r="E139" s="294"/>
      <c r="F139" s="250" t="s">
        <v>201</v>
      </c>
      <c r="G139" s="237" t="s">
        <v>66</v>
      </c>
      <c r="H139" s="237" t="s">
        <v>112</v>
      </c>
      <c r="I139" s="252">
        <v>3.5</v>
      </c>
      <c r="J139" s="295">
        <f t="shared" si="8"/>
        <v>255</v>
      </c>
      <c r="K139" s="296">
        <v>255</v>
      </c>
      <c r="L139" s="212" t="e">
        <f t="shared" si="9"/>
        <v>#DIV/0!</v>
      </c>
      <c r="M139" s="297" t="e">
        <f>IF(K139="nio",0,IF(K139&gt;0,VLOOKUP(G139,'3-Productie normen'!A:L,VLOOKUP(K139,'3-Productie normen'!$B$30:$C$36,2,FALSE),FALSE)))/VLOOKUP(B139,'2-Kosten per locatie'!$A$14:$C$26,3,FALSE)</f>
        <v>#DIV/0!</v>
      </c>
      <c r="N139" s="298"/>
      <c r="P139" s="299">
        <f t="shared" si="10"/>
        <v>892.5</v>
      </c>
    </row>
    <row r="140" spans="1:16" ht="14.1" customHeight="1">
      <c r="A140" s="35">
        <v>140</v>
      </c>
      <c r="B140" s="249" t="s">
        <v>36</v>
      </c>
      <c r="C140" s="293"/>
      <c r="D140" s="434" t="s">
        <v>95</v>
      </c>
      <c r="E140" s="294"/>
      <c r="F140" s="250" t="s">
        <v>150</v>
      </c>
      <c r="G140" s="237" t="s">
        <v>60</v>
      </c>
      <c r="H140" s="237" t="s">
        <v>112</v>
      </c>
      <c r="I140" s="252">
        <v>4.7</v>
      </c>
      <c r="J140" s="295">
        <f t="shared" si="8"/>
        <v>255</v>
      </c>
      <c r="K140" s="296">
        <v>255</v>
      </c>
      <c r="L140" s="212" t="e">
        <f t="shared" si="9"/>
        <v>#DIV/0!</v>
      </c>
      <c r="M140" s="297" t="e">
        <f>IF(K140="nio",0,IF(K140&gt;0,VLOOKUP(G140,'3-Productie normen'!A:L,VLOOKUP(K140,'3-Productie normen'!$B$30:$C$36,2,FALSE),FALSE)))/VLOOKUP(B140,'2-Kosten per locatie'!$A$14:$C$26,3,FALSE)</f>
        <v>#DIV/0!</v>
      </c>
      <c r="N140" s="298"/>
      <c r="P140" s="299">
        <f t="shared" si="10"/>
        <v>1198.5</v>
      </c>
    </row>
    <row r="141" spans="1:16" ht="14.1" customHeight="1">
      <c r="A141" s="35">
        <v>141</v>
      </c>
      <c r="B141" s="249" t="s">
        <v>36</v>
      </c>
      <c r="C141" s="293"/>
      <c r="D141" s="434" t="s">
        <v>95</v>
      </c>
      <c r="E141" s="294"/>
      <c r="F141" s="250" t="s">
        <v>202</v>
      </c>
      <c r="G141" s="276" t="s">
        <v>59</v>
      </c>
      <c r="H141" s="301" t="s">
        <v>152</v>
      </c>
      <c r="I141" s="252">
        <v>2.6</v>
      </c>
      <c r="J141" s="295">
        <f t="shared" si="8"/>
        <v>255</v>
      </c>
      <c r="K141" s="296">
        <v>255</v>
      </c>
      <c r="L141" s="212" t="e">
        <f t="shared" si="9"/>
        <v>#DIV/0!</v>
      </c>
      <c r="M141" s="297" t="e">
        <f>IF(K141="nio",0,IF(K141&gt;0,VLOOKUP(G141,'3-Productie normen'!A:L,VLOOKUP(K141,'3-Productie normen'!$B$30:$C$36,2,FALSE),FALSE)))/VLOOKUP(B141,'2-Kosten per locatie'!$A$14:$C$26,3,FALSE)</f>
        <v>#DIV/0!</v>
      </c>
      <c r="N141" s="298"/>
      <c r="P141" s="299">
        <f t="shared" si="10"/>
        <v>663</v>
      </c>
    </row>
    <row r="142" spans="1:16" ht="14.1" customHeight="1">
      <c r="A142" s="35">
        <v>142</v>
      </c>
      <c r="B142" s="249" t="s">
        <v>36</v>
      </c>
      <c r="C142" s="293"/>
      <c r="D142" s="434" t="s">
        <v>95</v>
      </c>
      <c r="E142" s="294"/>
      <c r="F142" s="250" t="s">
        <v>203</v>
      </c>
      <c r="G142" s="48" t="s">
        <v>60</v>
      </c>
      <c r="H142" s="237" t="s">
        <v>112</v>
      </c>
      <c r="I142" s="252">
        <v>22</v>
      </c>
      <c r="J142" s="295">
        <f t="shared" si="8"/>
        <v>255</v>
      </c>
      <c r="K142" s="296">
        <v>255</v>
      </c>
      <c r="L142" s="212" t="e">
        <f t="shared" si="9"/>
        <v>#DIV/0!</v>
      </c>
      <c r="M142" s="297" t="e">
        <f>IF(K142="nio",0,IF(K142&gt;0,VLOOKUP(G142,'3-Productie normen'!A:L,VLOOKUP(K142,'3-Productie normen'!$B$30:$C$36,2,FALSE),FALSE)))/VLOOKUP(B142,'2-Kosten per locatie'!$A$14:$C$26,3,FALSE)</f>
        <v>#DIV/0!</v>
      </c>
      <c r="N142" s="298"/>
      <c r="P142" s="299">
        <f t="shared" si="10"/>
        <v>5610</v>
      </c>
    </row>
    <row r="143" spans="1:16" ht="14.1" customHeight="1">
      <c r="A143" s="35">
        <v>143</v>
      </c>
      <c r="B143" s="249" t="s">
        <v>36</v>
      </c>
      <c r="C143" s="293"/>
      <c r="D143" s="434" t="s">
        <v>95</v>
      </c>
      <c r="E143" s="294"/>
      <c r="F143" s="250" t="s">
        <v>204</v>
      </c>
      <c r="G143" s="237" t="s">
        <v>63</v>
      </c>
      <c r="H143" s="237" t="s">
        <v>151</v>
      </c>
      <c r="I143" s="252">
        <v>13.55</v>
      </c>
      <c r="J143" s="295">
        <f t="shared" si="8"/>
        <v>255</v>
      </c>
      <c r="K143" s="296">
        <v>255</v>
      </c>
      <c r="L143" s="212" t="e">
        <f t="shared" si="9"/>
        <v>#DIV/0!</v>
      </c>
      <c r="M143" s="297" t="e">
        <f>IF(K143="nio",0,IF(K143&gt;0,VLOOKUP(G143,'3-Productie normen'!A:L,VLOOKUP(K143,'3-Productie normen'!$B$30:$C$36,2,FALSE),FALSE)))/VLOOKUP(B143,'2-Kosten per locatie'!$A$14:$C$26,3,FALSE)</f>
        <v>#DIV/0!</v>
      </c>
      <c r="N143" s="298"/>
      <c r="P143" s="299">
        <f t="shared" si="10"/>
        <v>3455.25</v>
      </c>
    </row>
    <row r="144" spans="1:16" ht="14.1" customHeight="1">
      <c r="A144" s="35">
        <v>144</v>
      </c>
      <c r="B144" s="249" t="s">
        <v>36</v>
      </c>
      <c r="C144" s="293"/>
      <c r="D144" s="434" t="s">
        <v>95</v>
      </c>
      <c r="E144" s="294"/>
      <c r="F144" s="250" t="s">
        <v>205</v>
      </c>
      <c r="G144" s="237" t="s">
        <v>63</v>
      </c>
      <c r="H144" s="237" t="s">
        <v>151</v>
      </c>
      <c r="I144" s="252">
        <v>13.55</v>
      </c>
      <c r="J144" s="295">
        <f t="shared" si="8"/>
        <v>255</v>
      </c>
      <c r="K144" s="296">
        <v>255</v>
      </c>
      <c r="L144" s="212" t="e">
        <f t="shared" si="9"/>
        <v>#DIV/0!</v>
      </c>
      <c r="M144" s="297" t="e">
        <f>IF(K144="nio",0,IF(K144&gt;0,VLOOKUP(G144,'3-Productie normen'!A:L,VLOOKUP(K144,'3-Productie normen'!$B$30:$C$36,2,FALSE),FALSE)))/VLOOKUP(B144,'2-Kosten per locatie'!$A$14:$C$26,3,FALSE)</f>
        <v>#DIV/0!</v>
      </c>
      <c r="N144" s="298"/>
      <c r="P144" s="299">
        <f t="shared" si="10"/>
        <v>3455.25</v>
      </c>
    </row>
    <row r="145" spans="1:16" ht="14.1" customHeight="1">
      <c r="A145" s="35">
        <v>145</v>
      </c>
      <c r="B145" s="249" t="s">
        <v>36</v>
      </c>
      <c r="C145" s="293"/>
      <c r="D145" s="434" t="s">
        <v>95</v>
      </c>
      <c r="E145" s="294"/>
      <c r="F145" s="250" t="s">
        <v>206</v>
      </c>
      <c r="G145" s="237" t="s">
        <v>63</v>
      </c>
      <c r="H145" s="237" t="s">
        <v>151</v>
      </c>
      <c r="I145" s="252">
        <v>13.55</v>
      </c>
      <c r="J145" s="295">
        <f t="shared" si="8"/>
        <v>255</v>
      </c>
      <c r="K145" s="296">
        <v>255</v>
      </c>
      <c r="L145" s="212" t="e">
        <f t="shared" si="9"/>
        <v>#DIV/0!</v>
      </c>
      <c r="M145" s="297" t="e">
        <f>IF(K145="nio",0,IF(K145&gt;0,VLOOKUP(G145,'3-Productie normen'!A:L,VLOOKUP(K145,'3-Productie normen'!$B$30:$C$36,2,FALSE),FALSE)))/VLOOKUP(B145,'2-Kosten per locatie'!$A$14:$C$26,3,FALSE)</f>
        <v>#DIV/0!</v>
      </c>
      <c r="N145" s="298"/>
      <c r="P145" s="299">
        <f t="shared" si="10"/>
        <v>3455.25</v>
      </c>
    </row>
    <row r="146" spans="1:16" ht="14.1" customHeight="1">
      <c r="A146" s="35">
        <v>146</v>
      </c>
      <c r="B146" s="249" t="s">
        <v>36</v>
      </c>
      <c r="C146" s="293"/>
      <c r="D146" s="434" t="s">
        <v>95</v>
      </c>
      <c r="E146" s="294"/>
      <c r="F146" s="250" t="s">
        <v>207</v>
      </c>
      <c r="G146" s="237" t="s">
        <v>63</v>
      </c>
      <c r="H146" s="237" t="s">
        <v>151</v>
      </c>
      <c r="I146" s="252">
        <v>10.6</v>
      </c>
      <c r="J146" s="295">
        <f t="shared" si="8"/>
        <v>255</v>
      </c>
      <c r="K146" s="296">
        <v>255</v>
      </c>
      <c r="L146" s="212" t="e">
        <f t="shared" si="9"/>
        <v>#DIV/0!</v>
      </c>
      <c r="M146" s="297" t="e">
        <f>IF(K146="nio",0,IF(K146&gt;0,VLOOKUP(G146,'3-Productie normen'!A:L,VLOOKUP(K146,'3-Productie normen'!$B$30:$C$36,2,FALSE),FALSE)))/VLOOKUP(B146,'2-Kosten per locatie'!$A$14:$C$26,3,FALSE)</f>
        <v>#DIV/0!</v>
      </c>
      <c r="N146" s="298"/>
      <c r="P146" s="299">
        <f t="shared" si="10"/>
        <v>2703</v>
      </c>
    </row>
    <row r="147" spans="1:16" ht="14.1" customHeight="1">
      <c r="A147" s="35">
        <v>147</v>
      </c>
      <c r="B147" s="249" t="s">
        <v>36</v>
      </c>
      <c r="C147" s="293"/>
      <c r="D147" s="434" t="s">
        <v>95</v>
      </c>
      <c r="E147" s="294"/>
      <c r="F147" s="250" t="s">
        <v>208</v>
      </c>
      <c r="G147" s="48" t="s">
        <v>60</v>
      </c>
      <c r="H147" s="237" t="s">
        <v>112</v>
      </c>
      <c r="I147" s="252">
        <v>20.85</v>
      </c>
      <c r="J147" s="295">
        <f t="shared" si="8"/>
        <v>255</v>
      </c>
      <c r="K147" s="296">
        <v>255</v>
      </c>
      <c r="L147" s="212" t="e">
        <f t="shared" si="9"/>
        <v>#DIV/0!</v>
      </c>
      <c r="M147" s="297" t="e">
        <f>IF(K147="nio",0,IF(K147&gt;0,VLOOKUP(G147,'3-Productie normen'!A:L,VLOOKUP(K147,'3-Productie normen'!$B$30:$C$36,2,FALSE),FALSE)))/VLOOKUP(B147,'2-Kosten per locatie'!$A$14:$C$26,3,FALSE)</f>
        <v>#DIV/0!</v>
      </c>
      <c r="N147" s="298"/>
      <c r="P147" s="299">
        <f t="shared" si="10"/>
        <v>5316.75</v>
      </c>
    </row>
    <row r="148" spans="1:16" ht="14.1" customHeight="1">
      <c r="A148" s="35">
        <v>148</v>
      </c>
      <c r="B148" s="249" t="s">
        <v>36</v>
      </c>
      <c r="C148" s="293"/>
      <c r="D148" s="434" t="s">
        <v>95</v>
      </c>
      <c r="E148" s="294"/>
      <c r="F148" s="250" t="s">
        <v>209</v>
      </c>
      <c r="G148" s="237" t="s">
        <v>63</v>
      </c>
      <c r="H148" s="237" t="s">
        <v>151</v>
      </c>
      <c r="I148" s="252">
        <v>10</v>
      </c>
      <c r="J148" s="295">
        <f t="shared" si="8"/>
        <v>255</v>
      </c>
      <c r="K148" s="296">
        <v>255</v>
      </c>
      <c r="L148" s="212" t="e">
        <f t="shared" si="9"/>
        <v>#DIV/0!</v>
      </c>
      <c r="M148" s="297" t="e">
        <f>IF(K148="nio",0,IF(K148&gt;0,VLOOKUP(G148,'3-Productie normen'!A:L,VLOOKUP(K148,'3-Productie normen'!$B$30:$C$36,2,FALSE),FALSE)))/VLOOKUP(B148,'2-Kosten per locatie'!$A$14:$C$26,3,FALSE)</f>
        <v>#DIV/0!</v>
      </c>
      <c r="N148" s="298"/>
      <c r="P148" s="299">
        <f t="shared" si="10"/>
        <v>2550</v>
      </c>
    </row>
    <row r="149" spans="1:16" ht="14.1" customHeight="1">
      <c r="A149" s="35">
        <v>149</v>
      </c>
      <c r="B149" s="249" t="s">
        <v>36</v>
      </c>
      <c r="C149" s="293"/>
      <c r="D149" s="434" t="s">
        <v>95</v>
      </c>
      <c r="E149" s="294"/>
      <c r="F149" s="250" t="s">
        <v>141</v>
      </c>
      <c r="G149" s="276" t="s">
        <v>58</v>
      </c>
      <c r="H149" s="237" t="s">
        <v>151</v>
      </c>
      <c r="I149" s="252">
        <v>9</v>
      </c>
      <c r="J149" s="295">
        <f t="shared" si="8"/>
        <v>255</v>
      </c>
      <c r="K149" s="296">
        <v>255</v>
      </c>
      <c r="L149" s="212" t="e">
        <f t="shared" si="9"/>
        <v>#DIV/0!</v>
      </c>
      <c r="M149" s="297" t="e">
        <f>IF(K149="nio",0,IF(K149&gt;0,VLOOKUP(G149,'3-Productie normen'!A:L,VLOOKUP(K149,'3-Productie normen'!$B$30:$C$36,2,FALSE),FALSE)))/VLOOKUP(B149,'2-Kosten per locatie'!$A$14:$C$26,3,FALSE)</f>
        <v>#DIV/0!</v>
      </c>
      <c r="N149" s="298"/>
      <c r="P149" s="299">
        <f t="shared" si="10"/>
        <v>2295</v>
      </c>
    </row>
    <row r="150" spans="1:16" ht="14.1" customHeight="1">
      <c r="A150" s="35">
        <v>150</v>
      </c>
      <c r="B150" s="249" t="s">
        <v>36</v>
      </c>
      <c r="C150" s="293"/>
      <c r="D150" s="434" t="s">
        <v>95</v>
      </c>
      <c r="E150" s="294"/>
      <c r="F150" s="250" t="s">
        <v>210</v>
      </c>
      <c r="G150" s="237" t="s">
        <v>63</v>
      </c>
      <c r="H150" s="237" t="s">
        <v>151</v>
      </c>
      <c r="I150" s="252">
        <v>21.5</v>
      </c>
      <c r="J150" s="295">
        <f t="shared" si="8"/>
        <v>255</v>
      </c>
      <c r="K150" s="296">
        <v>255</v>
      </c>
      <c r="L150" s="212" t="e">
        <f t="shared" si="9"/>
        <v>#DIV/0!</v>
      </c>
      <c r="M150" s="297" t="e">
        <f>IF(K150="nio",0,IF(K150&gt;0,VLOOKUP(G150,'3-Productie normen'!A:L,VLOOKUP(K150,'3-Productie normen'!$B$30:$C$36,2,FALSE),FALSE)))/VLOOKUP(B150,'2-Kosten per locatie'!$A$14:$C$26,3,FALSE)</f>
        <v>#DIV/0!</v>
      </c>
      <c r="N150" s="298"/>
      <c r="P150" s="299">
        <f t="shared" si="10"/>
        <v>5482.5</v>
      </c>
    </row>
    <row r="151" spans="1:16" ht="14.1" customHeight="1">
      <c r="A151" s="35">
        <v>151</v>
      </c>
      <c r="B151" s="249" t="s">
        <v>36</v>
      </c>
      <c r="C151" s="293"/>
      <c r="D151" s="434" t="s">
        <v>95</v>
      </c>
      <c r="E151" s="294"/>
      <c r="F151" s="250" t="s">
        <v>211</v>
      </c>
      <c r="G151" s="237" t="s">
        <v>63</v>
      </c>
      <c r="H151" s="300" t="s">
        <v>151</v>
      </c>
      <c r="I151" s="252">
        <v>21.5</v>
      </c>
      <c r="J151" s="295">
        <f t="shared" si="8"/>
        <v>255</v>
      </c>
      <c r="K151" s="296">
        <v>255</v>
      </c>
      <c r="L151" s="212" t="e">
        <f t="shared" si="9"/>
        <v>#DIV/0!</v>
      </c>
      <c r="M151" s="297" t="e">
        <f>IF(K151="nio",0,IF(K151&gt;0,VLOOKUP(G151,'3-Productie normen'!A:L,VLOOKUP(K151,'3-Productie normen'!$B$30:$C$36,2,FALSE),FALSE)))/VLOOKUP(B151,'2-Kosten per locatie'!$A$14:$C$26,3,FALSE)</f>
        <v>#DIV/0!</v>
      </c>
      <c r="N151" s="298"/>
      <c r="P151" s="299">
        <f t="shared" si="10"/>
        <v>5482.5</v>
      </c>
    </row>
    <row r="152" spans="1:16" ht="14.1" customHeight="1">
      <c r="A152" s="35">
        <v>152</v>
      </c>
      <c r="B152" s="249" t="s">
        <v>36</v>
      </c>
      <c r="C152" s="293"/>
      <c r="D152" s="434" t="s">
        <v>95</v>
      </c>
      <c r="E152" s="47"/>
      <c r="F152" s="250" t="s">
        <v>141</v>
      </c>
      <c r="G152" s="276" t="s">
        <v>58</v>
      </c>
      <c r="H152" s="237" t="s">
        <v>151</v>
      </c>
      <c r="I152" s="252">
        <v>10.75</v>
      </c>
      <c r="J152" s="295">
        <f t="shared" si="8"/>
        <v>255</v>
      </c>
      <c r="K152" s="296">
        <v>255</v>
      </c>
      <c r="L152" s="212" t="e">
        <f t="shared" si="9"/>
        <v>#DIV/0!</v>
      </c>
      <c r="M152" s="297" t="e">
        <f>IF(K152="nio",0,IF(K152&gt;0,VLOOKUP(G152,'3-Productie normen'!A:L,VLOOKUP(K152,'3-Productie normen'!$B$30:$C$36,2,FALSE),FALSE)))/VLOOKUP(B152,'2-Kosten per locatie'!$A$14:$C$26,3,FALSE)</f>
        <v>#DIV/0!</v>
      </c>
      <c r="N152" s="298"/>
      <c r="P152" s="299">
        <f t="shared" si="10"/>
        <v>2741.25</v>
      </c>
    </row>
    <row r="153" spans="1:16" ht="14.1" customHeight="1">
      <c r="A153" s="35">
        <v>153</v>
      </c>
      <c r="B153" s="249" t="s">
        <v>36</v>
      </c>
      <c r="C153" s="293"/>
      <c r="D153" s="434" t="s">
        <v>95</v>
      </c>
      <c r="E153" s="294"/>
      <c r="F153" s="250" t="s">
        <v>212</v>
      </c>
      <c r="G153" s="276" t="s">
        <v>58</v>
      </c>
      <c r="H153" s="237" t="s">
        <v>151</v>
      </c>
      <c r="I153" s="252">
        <v>42</v>
      </c>
      <c r="J153" s="295">
        <f t="shared" si="8"/>
        <v>255</v>
      </c>
      <c r="K153" s="296">
        <v>255</v>
      </c>
      <c r="L153" s="212" t="e">
        <f t="shared" si="9"/>
        <v>#DIV/0!</v>
      </c>
      <c r="M153" s="297" t="e">
        <f>IF(K153="nio",0,IF(K153&gt;0,VLOOKUP(G153,'3-Productie normen'!A:L,VLOOKUP(K153,'3-Productie normen'!$B$30:$C$36,2,FALSE),FALSE)))/VLOOKUP(B153,'2-Kosten per locatie'!$A$14:$C$26,3,FALSE)</f>
        <v>#DIV/0!</v>
      </c>
      <c r="N153" s="298"/>
      <c r="P153" s="299">
        <f t="shared" si="10"/>
        <v>10710</v>
      </c>
    </row>
    <row r="154" spans="1:16" ht="14.1" customHeight="1">
      <c r="A154" s="35">
        <v>154</v>
      </c>
      <c r="B154" s="249" t="s">
        <v>36</v>
      </c>
      <c r="C154" s="293"/>
      <c r="D154" s="434" t="s">
        <v>95</v>
      </c>
      <c r="E154" s="294"/>
      <c r="F154" s="250" t="s">
        <v>213</v>
      </c>
      <c r="G154" s="237" t="s">
        <v>60</v>
      </c>
      <c r="H154" s="237" t="s">
        <v>112</v>
      </c>
      <c r="I154" s="252">
        <v>65</v>
      </c>
      <c r="J154" s="295">
        <f t="shared" si="8"/>
        <v>255</v>
      </c>
      <c r="K154" s="296">
        <v>255</v>
      </c>
      <c r="L154" s="212" t="e">
        <f t="shared" si="9"/>
        <v>#DIV/0!</v>
      </c>
      <c r="M154" s="297" t="e">
        <f>IF(K154="nio",0,IF(K154&gt;0,VLOOKUP(G154,'3-Productie normen'!A:L,VLOOKUP(K154,'3-Productie normen'!$B$30:$C$36,2,FALSE),FALSE)))/VLOOKUP(B154,'2-Kosten per locatie'!$A$14:$C$26,3,FALSE)</f>
        <v>#DIV/0!</v>
      </c>
      <c r="N154" s="298"/>
      <c r="P154" s="299">
        <f t="shared" si="10"/>
        <v>16575</v>
      </c>
    </row>
    <row r="155" spans="1:16" ht="14.1" customHeight="1">
      <c r="A155" s="35">
        <v>155</v>
      </c>
      <c r="B155" s="249" t="s">
        <v>36</v>
      </c>
      <c r="C155" s="293"/>
      <c r="D155" s="434" t="s">
        <v>95</v>
      </c>
      <c r="E155" s="294"/>
      <c r="F155" s="250" t="s">
        <v>214</v>
      </c>
      <c r="G155" s="237" t="s">
        <v>61</v>
      </c>
      <c r="H155" s="237" t="s">
        <v>112</v>
      </c>
      <c r="I155" s="252">
        <v>30.5</v>
      </c>
      <c r="J155" s="295">
        <f t="shared" si="8"/>
        <v>255</v>
      </c>
      <c r="K155" s="296">
        <v>255</v>
      </c>
      <c r="L155" s="212" t="e">
        <f t="shared" si="9"/>
        <v>#DIV/0!</v>
      </c>
      <c r="M155" s="297" t="e">
        <f>IF(K155="nio",0,IF(K155&gt;0,VLOOKUP(G155,'3-Productie normen'!A:L,VLOOKUP(K155,'3-Productie normen'!$B$30:$C$36,2,FALSE),FALSE)))/VLOOKUP(B155,'2-Kosten per locatie'!$A$14:$C$26,3,FALSE)</f>
        <v>#DIV/0!</v>
      </c>
      <c r="N155" s="298"/>
      <c r="P155" s="299">
        <f t="shared" si="10"/>
        <v>7777.5</v>
      </c>
    </row>
    <row r="156" spans="1:16" ht="14.1" customHeight="1">
      <c r="A156" s="35">
        <v>156</v>
      </c>
      <c r="B156" s="249" t="s">
        <v>36</v>
      </c>
      <c r="C156" s="293"/>
      <c r="D156" s="434" t="s">
        <v>95</v>
      </c>
      <c r="E156" s="294"/>
      <c r="F156" s="250" t="s">
        <v>215</v>
      </c>
      <c r="G156" s="276" t="s">
        <v>58</v>
      </c>
      <c r="H156" s="237" t="s">
        <v>151</v>
      </c>
      <c r="I156" s="252">
        <v>35.299999999999997</v>
      </c>
      <c r="J156" s="295">
        <f t="shared" si="8"/>
        <v>255</v>
      </c>
      <c r="K156" s="296">
        <v>255</v>
      </c>
      <c r="L156" s="212" t="e">
        <f t="shared" si="9"/>
        <v>#DIV/0!</v>
      </c>
      <c r="M156" s="297" t="e">
        <f>IF(K156="nio",0,IF(K156&gt;0,VLOOKUP(G156,'3-Productie normen'!A:L,VLOOKUP(K156,'3-Productie normen'!$B$30:$C$36,2,FALSE),FALSE)))/VLOOKUP(B156,'2-Kosten per locatie'!$A$14:$C$26,3,FALSE)</f>
        <v>#DIV/0!</v>
      </c>
      <c r="N156" s="298"/>
      <c r="P156" s="299">
        <f t="shared" si="10"/>
        <v>9001.5</v>
      </c>
    </row>
    <row r="157" spans="1:16" ht="14.1" customHeight="1">
      <c r="A157" s="35">
        <v>157</v>
      </c>
      <c r="B157" s="249" t="s">
        <v>36</v>
      </c>
      <c r="C157" s="293"/>
      <c r="D157" s="434" t="s">
        <v>95</v>
      </c>
      <c r="E157" s="294"/>
      <c r="F157" s="250" t="s">
        <v>200</v>
      </c>
      <c r="G157" s="276" t="s">
        <v>60</v>
      </c>
      <c r="H157" s="237" t="s">
        <v>112</v>
      </c>
      <c r="I157" s="252">
        <v>3.85</v>
      </c>
      <c r="J157" s="295">
        <f t="shared" si="8"/>
        <v>255</v>
      </c>
      <c r="K157" s="296">
        <v>255</v>
      </c>
      <c r="L157" s="212" t="e">
        <f t="shared" si="9"/>
        <v>#DIV/0!</v>
      </c>
      <c r="M157" s="297" t="e">
        <f>IF(K157="nio",0,IF(K157&gt;0,VLOOKUP(G157,'3-Productie normen'!A:L,VLOOKUP(K157,'3-Productie normen'!$B$30:$C$36,2,FALSE),FALSE)))/VLOOKUP(B157,'2-Kosten per locatie'!$A$14:$C$26,3,FALSE)</f>
        <v>#DIV/0!</v>
      </c>
      <c r="N157" s="298"/>
      <c r="P157" s="299">
        <f t="shared" si="10"/>
        <v>981.75</v>
      </c>
    </row>
    <row r="158" spans="1:16" ht="14.1" customHeight="1">
      <c r="A158" s="35">
        <v>158</v>
      </c>
      <c r="B158" s="249" t="s">
        <v>36</v>
      </c>
      <c r="C158" s="293"/>
      <c r="D158" s="434" t="s">
        <v>95</v>
      </c>
      <c r="E158" s="294"/>
      <c r="F158" s="250" t="s">
        <v>216</v>
      </c>
      <c r="G158" s="237" t="s">
        <v>67</v>
      </c>
      <c r="H158" s="237" t="s">
        <v>106</v>
      </c>
      <c r="I158" s="252">
        <v>2.9</v>
      </c>
      <c r="J158" s="295">
        <f t="shared" si="8"/>
        <v>255</v>
      </c>
      <c r="K158" s="296">
        <v>255</v>
      </c>
      <c r="L158" s="212" t="e">
        <f t="shared" si="9"/>
        <v>#DIV/0!</v>
      </c>
      <c r="M158" s="297" t="e">
        <f>IF(K158="nio",0,IF(K158&gt;0,VLOOKUP(G158,'3-Productie normen'!A:L,VLOOKUP(K158,'3-Productie normen'!$B$30:$C$36,2,FALSE),FALSE)))/VLOOKUP(B158,'2-Kosten per locatie'!$A$14:$C$26,3,FALSE)</f>
        <v>#DIV/0!</v>
      </c>
      <c r="N158" s="298"/>
      <c r="P158" s="299">
        <f t="shared" si="10"/>
        <v>739.5</v>
      </c>
    </row>
    <row r="159" spans="1:16" ht="14.1" customHeight="1">
      <c r="A159" s="35">
        <v>159</v>
      </c>
      <c r="B159" s="249" t="s">
        <v>36</v>
      </c>
      <c r="C159" s="293"/>
      <c r="D159" s="434" t="s">
        <v>95</v>
      </c>
      <c r="E159" s="294"/>
      <c r="F159" s="250" t="s">
        <v>217</v>
      </c>
      <c r="G159" s="276" t="s">
        <v>59</v>
      </c>
      <c r="H159" s="301" t="s">
        <v>152</v>
      </c>
      <c r="I159" s="252">
        <v>2.6</v>
      </c>
      <c r="J159" s="295">
        <f t="shared" si="8"/>
        <v>255</v>
      </c>
      <c r="K159" s="296">
        <v>255</v>
      </c>
      <c r="L159" s="212" t="e">
        <f t="shared" si="9"/>
        <v>#DIV/0!</v>
      </c>
      <c r="M159" s="297" t="e">
        <f>IF(K159="nio",0,IF(K159&gt;0,VLOOKUP(G159,'3-Productie normen'!A:L,VLOOKUP(K159,'3-Productie normen'!$B$30:$C$36,2,FALSE),FALSE)))/VLOOKUP(B159,'2-Kosten per locatie'!$A$14:$C$26,3,FALSE)</f>
        <v>#DIV/0!</v>
      </c>
      <c r="N159" s="298"/>
      <c r="P159" s="299">
        <f t="shared" si="10"/>
        <v>663</v>
      </c>
    </row>
    <row r="160" spans="1:16" ht="14.1" customHeight="1">
      <c r="A160" s="35">
        <v>160</v>
      </c>
      <c r="B160" s="425" t="s">
        <v>36</v>
      </c>
      <c r="C160" s="293"/>
      <c r="D160" s="434" t="s">
        <v>95</v>
      </c>
      <c r="E160" s="294"/>
      <c r="F160" s="250" t="s">
        <v>111</v>
      </c>
      <c r="G160" s="279" t="s">
        <v>58</v>
      </c>
      <c r="H160" s="237" t="s">
        <v>112</v>
      </c>
      <c r="I160" s="252">
        <v>9.1999999999999993</v>
      </c>
      <c r="J160" s="295">
        <f t="shared" si="8"/>
        <v>255</v>
      </c>
      <c r="K160" s="296">
        <v>255</v>
      </c>
      <c r="L160" s="212" t="e">
        <f t="shared" si="9"/>
        <v>#DIV/0!</v>
      </c>
      <c r="M160" s="297" t="e">
        <f>IF(K160="nio",0,IF(K160&gt;0,VLOOKUP(G160,'3-Productie normen'!A:L,VLOOKUP(K160,'3-Productie normen'!$B$30:$C$36,2,FALSE),FALSE)))/VLOOKUP(B160,'2-Kosten per locatie'!$A$14:$C$26,3,FALSE)</f>
        <v>#DIV/0!</v>
      </c>
      <c r="N160" s="298"/>
      <c r="P160" s="299">
        <f t="shared" si="10"/>
        <v>2346</v>
      </c>
    </row>
    <row r="161" spans="1:16" ht="14.1" customHeight="1">
      <c r="A161" s="35">
        <v>161</v>
      </c>
      <c r="B161" s="249" t="s">
        <v>36</v>
      </c>
      <c r="C161" s="293"/>
      <c r="D161" s="434" t="s">
        <v>95</v>
      </c>
      <c r="E161" s="294"/>
      <c r="F161" s="250" t="s">
        <v>218</v>
      </c>
      <c r="G161" s="276" t="s">
        <v>58</v>
      </c>
      <c r="H161" s="237" t="s">
        <v>151</v>
      </c>
      <c r="I161" s="252">
        <v>11.7</v>
      </c>
      <c r="J161" s="295">
        <f t="shared" si="8"/>
        <v>255</v>
      </c>
      <c r="K161" s="296">
        <v>255</v>
      </c>
      <c r="L161" s="212" t="e">
        <f t="shared" si="9"/>
        <v>#DIV/0!</v>
      </c>
      <c r="M161" s="297" t="e">
        <f>IF(K161="nio",0,IF(K161&gt;0,VLOOKUP(G161,'3-Productie normen'!A:L,VLOOKUP(K161,'3-Productie normen'!$B$30:$C$36,2,FALSE),FALSE)))/VLOOKUP(B161,'2-Kosten per locatie'!$A$14:$C$26,3,FALSE)</f>
        <v>#DIV/0!</v>
      </c>
      <c r="N161" s="298"/>
      <c r="P161" s="299">
        <f t="shared" si="10"/>
        <v>2983.5</v>
      </c>
    </row>
    <row r="162" spans="1:16" ht="14.1" customHeight="1">
      <c r="A162" s="35">
        <v>162</v>
      </c>
      <c r="B162" s="249" t="s">
        <v>37</v>
      </c>
      <c r="C162" s="293"/>
      <c r="D162" s="434" t="s">
        <v>95</v>
      </c>
      <c r="E162" s="294"/>
      <c r="F162" s="250" t="s">
        <v>98</v>
      </c>
      <c r="G162" s="237" t="s">
        <v>66</v>
      </c>
      <c r="H162" s="237" t="s">
        <v>396</v>
      </c>
      <c r="I162" s="252">
        <v>23.98</v>
      </c>
      <c r="J162" s="295">
        <f t="shared" si="8"/>
        <v>255</v>
      </c>
      <c r="K162" s="296">
        <v>255</v>
      </c>
      <c r="L162" s="212" t="e">
        <f t="shared" si="9"/>
        <v>#DIV/0!</v>
      </c>
      <c r="M162" s="297" t="e">
        <f>IF(K162="nio",0,IF(K162&gt;0,VLOOKUP(G162,'3-Productie normen'!A:L,VLOOKUP(K162,'3-Productie normen'!$B$30:$C$36,2,FALSE),FALSE)))/VLOOKUP(B162,'2-Kosten per locatie'!$A$14:$C$26,3,FALSE)</f>
        <v>#DIV/0!</v>
      </c>
      <c r="N162" s="298"/>
      <c r="P162" s="299">
        <f t="shared" si="10"/>
        <v>6114.9000000000005</v>
      </c>
    </row>
    <row r="163" spans="1:16" ht="14.1" customHeight="1">
      <c r="A163" s="35">
        <v>163</v>
      </c>
      <c r="B163" s="249" t="s">
        <v>37</v>
      </c>
      <c r="C163" s="293"/>
      <c r="D163" s="434" t="s">
        <v>95</v>
      </c>
      <c r="E163" s="294"/>
      <c r="F163" s="250" t="s">
        <v>219</v>
      </c>
      <c r="G163" s="276" t="s">
        <v>58</v>
      </c>
      <c r="H163" s="237" t="s">
        <v>396</v>
      </c>
      <c r="I163" s="252">
        <v>179.22</v>
      </c>
      <c r="J163" s="295">
        <f t="shared" si="8"/>
        <v>255</v>
      </c>
      <c r="K163" s="296">
        <v>255</v>
      </c>
      <c r="L163" s="212" t="e">
        <f t="shared" si="9"/>
        <v>#DIV/0!</v>
      </c>
      <c r="M163" s="297" t="e">
        <f>IF(K163="nio",0,IF(K163&gt;0,VLOOKUP(G163,'3-Productie normen'!A:L,VLOOKUP(K163,'3-Productie normen'!$B$30:$C$36,2,FALSE),FALSE)))/VLOOKUP(B163,'2-Kosten per locatie'!$A$14:$C$26,3,FALSE)</f>
        <v>#DIV/0!</v>
      </c>
      <c r="N163" s="298"/>
      <c r="P163" s="299">
        <f t="shared" si="10"/>
        <v>45701.1</v>
      </c>
    </row>
    <row r="164" spans="1:16" ht="14.1" customHeight="1">
      <c r="A164" s="35">
        <v>164</v>
      </c>
      <c r="B164" s="249" t="s">
        <v>37</v>
      </c>
      <c r="C164" s="293"/>
      <c r="D164" s="434" t="s">
        <v>95</v>
      </c>
      <c r="E164" s="294"/>
      <c r="F164" s="250" t="s">
        <v>220</v>
      </c>
      <c r="G164" s="237" t="s">
        <v>59</v>
      </c>
      <c r="H164" s="237" t="s">
        <v>395</v>
      </c>
      <c r="I164" s="252">
        <v>16.149999999999999</v>
      </c>
      <c r="J164" s="295">
        <f t="shared" si="8"/>
        <v>255</v>
      </c>
      <c r="K164" s="296">
        <v>255</v>
      </c>
      <c r="L164" s="212" t="e">
        <f t="shared" si="9"/>
        <v>#DIV/0!</v>
      </c>
      <c r="M164" s="297" t="e">
        <f>IF(K164="nio",0,IF(K164&gt;0,VLOOKUP(G164,'3-Productie normen'!A:L,VLOOKUP(K164,'3-Productie normen'!$B$30:$C$36,2,FALSE),FALSE)))/VLOOKUP(B164,'2-Kosten per locatie'!$A$14:$C$26,3,FALSE)</f>
        <v>#DIV/0!</v>
      </c>
      <c r="N164" s="298"/>
      <c r="P164" s="299">
        <f t="shared" si="10"/>
        <v>4118.25</v>
      </c>
    </row>
    <row r="165" spans="1:16" ht="14.1" customHeight="1">
      <c r="A165" s="35">
        <v>165</v>
      </c>
      <c r="B165" s="249" t="s">
        <v>37</v>
      </c>
      <c r="C165" s="293"/>
      <c r="D165" s="434" t="s">
        <v>95</v>
      </c>
      <c r="E165" s="294"/>
      <c r="F165" s="250" t="s">
        <v>219</v>
      </c>
      <c r="G165" s="276" t="s">
        <v>58</v>
      </c>
      <c r="H165" s="237" t="s">
        <v>396</v>
      </c>
      <c r="I165" s="252">
        <v>12.54</v>
      </c>
      <c r="J165" s="295">
        <f t="shared" si="8"/>
        <v>255</v>
      </c>
      <c r="K165" s="296">
        <v>255</v>
      </c>
      <c r="L165" s="212" t="e">
        <f t="shared" si="9"/>
        <v>#DIV/0!</v>
      </c>
      <c r="M165" s="297" t="e">
        <f>IF(K165="nio",0,IF(K165&gt;0,VLOOKUP(G165,'3-Productie normen'!A:L,VLOOKUP(K165,'3-Productie normen'!$B$30:$C$36,2,FALSE),FALSE)))/VLOOKUP(B165,'2-Kosten per locatie'!$A$14:$C$26,3,FALSE)</f>
        <v>#DIV/0!</v>
      </c>
      <c r="N165" s="298"/>
      <c r="P165" s="299">
        <f t="shared" si="10"/>
        <v>3197.7</v>
      </c>
    </row>
    <row r="166" spans="1:16" ht="14.1" customHeight="1">
      <c r="A166" s="35">
        <v>166</v>
      </c>
      <c r="B166" s="249" t="s">
        <v>37</v>
      </c>
      <c r="C166" s="293"/>
      <c r="D166" s="434" t="s">
        <v>95</v>
      </c>
      <c r="E166" s="294"/>
      <c r="F166" s="250" t="s">
        <v>219</v>
      </c>
      <c r="G166" s="276" t="s">
        <v>58</v>
      </c>
      <c r="H166" s="237" t="s">
        <v>396</v>
      </c>
      <c r="I166" s="252">
        <v>11.52</v>
      </c>
      <c r="J166" s="295">
        <f t="shared" si="8"/>
        <v>255</v>
      </c>
      <c r="K166" s="296">
        <v>255</v>
      </c>
      <c r="L166" s="212" t="e">
        <f t="shared" si="9"/>
        <v>#DIV/0!</v>
      </c>
      <c r="M166" s="297" t="e">
        <f>IF(K166="nio",0,IF(K166&gt;0,VLOOKUP(G166,'3-Productie normen'!A:L,VLOOKUP(K166,'3-Productie normen'!$B$30:$C$36,2,FALSE),FALSE)))/VLOOKUP(B166,'2-Kosten per locatie'!$A$14:$C$26,3,FALSE)</f>
        <v>#DIV/0!</v>
      </c>
      <c r="N166" s="298"/>
      <c r="P166" s="299">
        <f t="shared" si="10"/>
        <v>2937.6</v>
      </c>
    </row>
    <row r="167" spans="1:16" ht="14.1" customHeight="1">
      <c r="A167" s="35">
        <v>167</v>
      </c>
      <c r="B167" s="249" t="s">
        <v>37</v>
      </c>
      <c r="C167" s="293"/>
      <c r="D167" s="434" t="s">
        <v>95</v>
      </c>
      <c r="E167" s="47"/>
      <c r="F167" s="250" t="s">
        <v>219</v>
      </c>
      <c r="G167" s="276" t="s">
        <v>58</v>
      </c>
      <c r="H167" s="237" t="s">
        <v>396</v>
      </c>
      <c r="I167" s="252">
        <v>16.37</v>
      </c>
      <c r="J167" s="295">
        <f t="shared" si="8"/>
        <v>255</v>
      </c>
      <c r="K167" s="296">
        <v>255</v>
      </c>
      <c r="L167" s="212" t="e">
        <f t="shared" si="9"/>
        <v>#DIV/0!</v>
      </c>
      <c r="M167" s="297" t="e">
        <f>IF(K167="nio",0,IF(K167&gt;0,VLOOKUP(G167,'3-Productie normen'!A:L,VLOOKUP(K167,'3-Productie normen'!$B$30:$C$36,2,FALSE),FALSE)))/VLOOKUP(B167,'2-Kosten per locatie'!$A$14:$C$26,3,FALSE)</f>
        <v>#DIV/0!</v>
      </c>
      <c r="N167" s="298"/>
      <c r="P167" s="299">
        <f t="shared" si="10"/>
        <v>4174.3500000000004</v>
      </c>
    </row>
    <row r="168" spans="1:16" ht="14.1" customHeight="1">
      <c r="A168" s="35">
        <v>168</v>
      </c>
      <c r="B168" s="249" t="s">
        <v>37</v>
      </c>
      <c r="C168" s="293"/>
      <c r="D168" s="434" t="s">
        <v>95</v>
      </c>
      <c r="E168" s="294"/>
      <c r="F168" s="250" t="s">
        <v>138</v>
      </c>
      <c r="G168" s="276" t="s">
        <v>59</v>
      </c>
      <c r="H168" s="237" t="s">
        <v>395</v>
      </c>
      <c r="I168" s="252">
        <v>1.43</v>
      </c>
      <c r="J168" s="295">
        <f t="shared" si="8"/>
        <v>255</v>
      </c>
      <c r="K168" s="296">
        <v>255</v>
      </c>
      <c r="L168" s="212" t="e">
        <f t="shared" si="9"/>
        <v>#DIV/0!</v>
      </c>
      <c r="M168" s="297" t="e">
        <f>IF(K168="nio",0,IF(K168&gt;0,VLOOKUP(G168,'3-Productie normen'!A:L,VLOOKUP(K168,'3-Productie normen'!$B$30:$C$36,2,FALSE),FALSE)))/VLOOKUP(B168,'2-Kosten per locatie'!$A$14:$C$26,3,FALSE)</f>
        <v>#DIV/0!</v>
      </c>
      <c r="N168" s="298"/>
      <c r="P168" s="299">
        <f t="shared" si="10"/>
        <v>364.65</v>
      </c>
    </row>
    <row r="169" spans="1:16" ht="14.1" customHeight="1">
      <c r="A169" s="35">
        <v>169</v>
      </c>
      <c r="B169" s="249" t="s">
        <v>37</v>
      </c>
      <c r="C169" s="293"/>
      <c r="D169" s="434" t="s">
        <v>95</v>
      </c>
      <c r="E169" s="294"/>
      <c r="F169" s="250" t="s">
        <v>221</v>
      </c>
      <c r="G169" s="237" t="s">
        <v>67</v>
      </c>
      <c r="H169" s="237" t="s">
        <v>396</v>
      </c>
      <c r="I169" s="252">
        <v>5.14</v>
      </c>
      <c r="J169" s="295">
        <f t="shared" si="8"/>
        <v>255</v>
      </c>
      <c r="K169" s="296">
        <v>255</v>
      </c>
      <c r="L169" s="212" t="e">
        <f t="shared" si="9"/>
        <v>#DIV/0!</v>
      </c>
      <c r="M169" s="297" t="e">
        <f>IF(K169="nio",0,IF(K169&gt;0,VLOOKUP(G169,'3-Productie normen'!A:L,VLOOKUP(K169,'3-Productie normen'!$B$30:$C$36,2,FALSE),FALSE)))/VLOOKUP(B169,'2-Kosten per locatie'!$A$14:$C$26,3,FALSE)</f>
        <v>#DIV/0!</v>
      </c>
      <c r="N169" s="298"/>
      <c r="P169" s="299">
        <f t="shared" si="10"/>
        <v>1310.6999999999998</v>
      </c>
    </row>
    <row r="170" spans="1:16" ht="14.1" customHeight="1">
      <c r="A170" s="35">
        <v>170</v>
      </c>
      <c r="B170" s="249" t="s">
        <v>37</v>
      </c>
      <c r="C170" s="293"/>
      <c r="D170" s="434" t="s">
        <v>95</v>
      </c>
      <c r="E170" s="294"/>
      <c r="F170" s="250" t="s">
        <v>219</v>
      </c>
      <c r="G170" s="276" t="s">
        <v>58</v>
      </c>
      <c r="H170" s="237" t="s">
        <v>396</v>
      </c>
      <c r="I170" s="252">
        <v>49.29</v>
      </c>
      <c r="J170" s="295">
        <f t="shared" si="8"/>
        <v>255</v>
      </c>
      <c r="K170" s="296">
        <v>255</v>
      </c>
      <c r="L170" s="212" t="e">
        <f t="shared" si="9"/>
        <v>#DIV/0!</v>
      </c>
      <c r="M170" s="297" t="e">
        <f>IF(K170="nio",0,IF(K170&gt;0,VLOOKUP(G170,'3-Productie normen'!A:L,VLOOKUP(K170,'3-Productie normen'!$B$30:$C$36,2,FALSE),FALSE)))/VLOOKUP(B170,'2-Kosten per locatie'!$A$14:$C$26,3,FALSE)</f>
        <v>#DIV/0!</v>
      </c>
      <c r="N170" s="298"/>
      <c r="P170" s="299">
        <f t="shared" ref="P170:P194" si="11">J170*I170</f>
        <v>12568.949999999999</v>
      </c>
    </row>
    <row r="171" spans="1:16" ht="14.1" customHeight="1">
      <c r="A171" s="35">
        <v>171</v>
      </c>
      <c r="B171" s="249" t="s">
        <v>37</v>
      </c>
      <c r="C171" s="293"/>
      <c r="D171" s="434" t="s">
        <v>95</v>
      </c>
      <c r="E171" s="294"/>
      <c r="F171" s="250" t="s">
        <v>108</v>
      </c>
      <c r="G171" s="237" t="s">
        <v>70</v>
      </c>
      <c r="H171" s="237" t="s">
        <v>396</v>
      </c>
      <c r="I171" s="252">
        <v>2.73</v>
      </c>
      <c r="J171" s="295">
        <f t="shared" si="8"/>
        <v>0</v>
      </c>
      <c r="K171" s="296" t="s">
        <v>385</v>
      </c>
      <c r="L171" s="212">
        <f t="shared" si="9"/>
        <v>0</v>
      </c>
      <c r="M171" s="297" t="e">
        <f>IF(K171="nio",0,IF(K171&gt;0,VLOOKUP(G171,'3-Productie normen'!A:L,VLOOKUP(K171,'3-Productie normen'!$B$30:$C$36,2,FALSE),FALSE)))/VLOOKUP(B171,'2-Kosten per locatie'!$A$14:$C$26,3,FALSE)</f>
        <v>#DIV/0!</v>
      </c>
      <c r="N171" s="298"/>
      <c r="P171" s="299">
        <f t="shared" si="11"/>
        <v>0</v>
      </c>
    </row>
    <row r="172" spans="1:16" ht="14.1" customHeight="1">
      <c r="A172" s="35">
        <v>172</v>
      </c>
      <c r="B172" s="249" t="s">
        <v>37</v>
      </c>
      <c r="C172" s="293"/>
      <c r="D172" s="434" t="s">
        <v>95</v>
      </c>
      <c r="E172" s="294"/>
      <c r="F172" s="250" t="s">
        <v>108</v>
      </c>
      <c r="G172" s="237" t="s">
        <v>70</v>
      </c>
      <c r="H172" s="237" t="s">
        <v>396</v>
      </c>
      <c r="I172" s="252">
        <v>3.38</v>
      </c>
      <c r="J172" s="295">
        <f t="shared" si="8"/>
        <v>0</v>
      </c>
      <c r="K172" s="296" t="s">
        <v>385</v>
      </c>
      <c r="L172" s="212">
        <f t="shared" si="9"/>
        <v>0</v>
      </c>
      <c r="M172" s="297" t="e">
        <f>IF(K172="nio",0,IF(K172&gt;0,VLOOKUP(G172,'3-Productie normen'!A:L,VLOOKUP(K172,'3-Productie normen'!$B$30:$C$36,2,FALSE),FALSE)))/VLOOKUP(B172,'2-Kosten per locatie'!$A$14:$C$26,3,FALSE)</f>
        <v>#DIV/0!</v>
      </c>
      <c r="N172" s="298"/>
      <c r="P172" s="299">
        <f t="shared" si="11"/>
        <v>0</v>
      </c>
    </row>
    <row r="173" spans="1:16" ht="14.1" customHeight="1">
      <c r="A173" s="35">
        <v>173</v>
      </c>
      <c r="B173" s="249" t="s">
        <v>37</v>
      </c>
      <c r="C173" s="293"/>
      <c r="D173" s="434" t="s">
        <v>95</v>
      </c>
      <c r="E173" s="294"/>
      <c r="F173" s="250" t="s">
        <v>184</v>
      </c>
      <c r="G173" s="293" t="s">
        <v>68</v>
      </c>
      <c r="H173" s="237" t="s">
        <v>396</v>
      </c>
      <c r="I173" s="252">
        <v>3</v>
      </c>
      <c r="J173" s="295">
        <f t="shared" si="8"/>
        <v>255</v>
      </c>
      <c r="K173" s="296">
        <v>255</v>
      </c>
      <c r="L173" s="212" t="e">
        <f t="shared" si="9"/>
        <v>#DIV/0!</v>
      </c>
      <c r="M173" s="297" t="e">
        <f>IF(K173="nio",0,IF(K173&gt;0,VLOOKUP(G173,'3-Productie normen'!A:L,VLOOKUP(K173,'3-Productie normen'!$B$30:$C$36,2,FALSE),FALSE)))/VLOOKUP(B173,'2-Kosten per locatie'!$A$14:$C$26,3,FALSE)</f>
        <v>#DIV/0!</v>
      </c>
      <c r="N173" s="298"/>
      <c r="P173" s="299">
        <f t="shared" si="11"/>
        <v>765</v>
      </c>
    </row>
    <row r="174" spans="1:16" ht="14.1" customHeight="1">
      <c r="A174" s="35">
        <v>174</v>
      </c>
      <c r="B174" s="249" t="s">
        <v>37</v>
      </c>
      <c r="C174" s="293"/>
      <c r="D174" s="434" t="s">
        <v>110</v>
      </c>
      <c r="E174" s="294"/>
      <c r="F174" s="250" t="s">
        <v>219</v>
      </c>
      <c r="G174" s="276" t="s">
        <v>58</v>
      </c>
      <c r="H174" s="237" t="s">
        <v>396</v>
      </c>
      <c r="I174" s="252">
        <v>48.67</v>
      </c>
      <c r="J174" s="295">
        <f t="shared" si="8"/>
        <v>255</v>
      </c>
      <c r="K174" s="296">
        <v>255</v>
      </c>
      <c r="L174" s="212" t="e">
        <f t="shared" si="9"/>
        <v>#DIV/0!</v>
      </c>
      <c r="M174" s="297" t="e">
        <f>IF(K174="nio",0,IF(K174&gt;0,VLOOKUP(G174,'3-Productie normen'!A:L,VLOOKUP(K174,'3-Productie normen'!$B$30:$C$36,2,FALSE),FALSE)))/VLOOKUP(B174,'2-Kosten per locatie'!$A$14:$C$26,3,FALSE)</f>
        <v>#DIV/0!</v>
      </c>
      <c r="N174" s="298"/>
      <c r="P174" s="299">
        <f t="shared" si="11"/>
        <v>12410.85</v>
      </c>
    </row>
    <row r="175" spans="1:16" ht="14.1" customHeight="1">
      <c r="A175" s="35">
        <v>175</v>
      </c>
      <c r="B175" s="249" t="s">
        <v>37</v>
      </c>
      <c r="C175" s="293"/>
      <c r="D175" s="434" t="s">
        <v>110</v>
      </c>
      <c r="E175" s="294"/>
      <c r="F175" s="250" t="s">
        <v>219</v>
      </c>
      <c r="G175" s="276" t="s">
        <v>58</v>
      </c>
      <c r="H175" s="237" t="s">
        <v>396</v>
      </c>
      <c r="I175" s="252">
        <v>21.58</v>
      </c>
      <c r="J175" s="295">
        <f t="shared" si="8"/>
        <v>255</v>
      </c>
      <c r="K175" s="296">
        <v>255</v>
      </c>
      <c r="L175" s="212" t="e">
        <f t="shared" si="9"/>
        <v>#DIV/0!</v>
      </c>
      <c r="M175" s="297" t="e">
        <f>IF(K175="nio",0,IF(K175&gt;0,VLOOKUP(G175,'3-Productie normen'!A:L,VLOOKUP(K175,'3-Productie normen'!$B$30:$C$36,2,FALSE),FALSE)))/VLOOKUP(B175,'2-Kosten per locatie'!$A$14:$C$26,3,FALSE)</f>
        <v>#DIV/0!</v>
      </c>
      <c r="N175" s="298"/>
      <c r="P175" s="299">
        <f t="shared" si="11"/>
        <v>5502.9</v>
      </c>
    </row>
    <row r="176" spans="1:16" ht="14.1" customHeight="1">
      <c r="A176" s="35">
        <v>176</v>
      </c>
      <c r="B176" s="249" t="s">
        <v>37</v>
      </c>
      <c r="C176" s="293"/>
      <c r="D176" s="434" t="s">
        <v>110</v>
      </c>
      <c r="E176" s="294"/>
      <c r="F176" s="250" t="s">
        <v>219</v>
      </c>
      <c r="G176" s="276" t="s">
        <v>58</v>
      </c>
      <c r="H176" s="237" t="s">
        <v>396</v>
      </c>
      <c r="I176" s="252">
        <v>20.88</v>
      </c>
      <c r="J176" s="295">
        <f t="shared" si="8"/>
        <v>255</v>
      </c>
      <c r="K176" s="296">
        <v>255</v>
      </c>
      <c r="L176" s="212" t="e">
        <f t="shared" si="9"/>
        <v>#DIV/0!</v>
      </c>
      <c r="M176" s="297" t="e">
        <f>IF(K176="nio",0,IF(K176&gt;0,VLOOKUP(G176,'3-Productie normen'!A:L,VLOOKUP(K176,'3-Productie normen'!$B$30:$C$36,2,FALSE),FALSE)))/VLOOKUP(B176,'2-Kosten per locatie'!$A$14:$C$26,3,FALSE)</f>
        <v>#DIV/0!</v>
      </c>
      <c r="N176" s="298"/>
      <c r="P176" s="299">
        <f t="shared" si="11"/>
        <v>5324.4</v>
      </c>
    </row>
    <row r="177" spans="1:16" ht="14.1" customHeight="1">
      <c r="A177" s="35">
        <v>177</v>
      </c>
      <c r="B177" s="249" t="s">
        <v>37</v>
      </c>
      <c r="C177" s="293"/>
      <c r="D177" s="434" t="s">
        <v>110</v>
      </c>
      <c r="E177" s="294"/>
      <c r="F177" s="250" t="s">
        <v>219</v>
      </c>
      <c r="G177" s="276" t="s">
        <v>58</v>
      </c>
      <c r="H177" s="237" t="s">
        <v>396</v>
      </c>
      <c r="I177" s="252">
        <v>42.42</v>
      </c>
      <c r="J177" s="295">
        <f t="shared" si="8"/>
        <v>255</v>
      </c>
      <c r="K177" s="296">
        <v>255</v>
      </c>
      <c r="L177" s="212" t="e">
        <f t="shared" si="9"/>
        <v>#DIV/0!</v>
      </c>
      <c r="M177" s="297" t="e">
        <f>IF(K177="nio",0,IF(K177&gt;0,VLOOKUP(G177,'3-Productie normen'!A:L,VLOOKUP(K177,'3-Productie normen'!$B$30:$C$36,2,FALSE),FALSE)))/VLOOKUP(B177,'2-Kosten per locatie'!$A$14:$C$26,3,FALSE)</f>
        <v>#DIV/0!</v>
      </c>
      <c r="N177" s="298"/>
      <c r="P177" s="299">
        <f t="shared" si="11"/>
        <v>10817.1</v>
      </c>
    </row>
    <row r="178" spans="1:16" ht="14.1" customHeight="1">
      <c r="A178" s="35">
        <v>178</v>
      </c>
      <c r="B178" s="249" t="s">
        <v>37</v>
      </c>
      <c r="C178" s="293"/>
      <c r="D178" s="434" t="s">
        <v>110</v>
      </c>
      <c r="E178" s="294"/>
      <c r="F178" s="250" t="s">
        <v>219</v>
      </c>
      <c r="G178" s="276" t="s">
        <v>58</v>
      </c>
      <c r="H178" s="237" t="s">
        <v>396</v>
      </c>
      <c r="I178" s="252">
        <v>42.49</v>
      </c>
      <c r="J178" s="295">
        <f t="shared" si="8"/>
        <v>255</v>
      </c>
      <c r="K178" s="296">
        <v>255</v>
      </c>
      <c r="L178" s="212" t="e">
        <f t="shared" si="9"/>
        <v>#DIV/0!</v>
      </c>
      <c r="M178" s="297" t="e">
        <f>IF(K178="nio",0,IF(K178&gt;0,VLOOKUP(G178,'3-Productie normen'!A:L,VLOOKUP(K178,'3-Productie normen'!$B$30:$C$36,2,FALSE),FALSE)))/VLOOKUP(B178,'2-Kosten per locatie'!$A$14:$C$26,3,FALSE)</f>
        <v>#DIV/0!</v>
      </c>
      <c r="N178" s="298"/>
      <c r="P178" s="299">
        <f t="shared" si="11"/>
        <v>10834.95</v>
      </c>
    </row>
    <row r="179" spans="1:16" ht="14.1" customHeight="1">
      <c r="A179" s="35">
        <v>179</v>
      </c>
      <c r="B179" s="249" t="s">
        <v>37</v>
      </c>
      <c r="C179" s="293"/>
      <c r="D179" s="434" t="s">
        <v>110</v>
      </c>
      <c r="E179" s="294"/>
      <c r="F179" s="250" t="s">
        <v>222</v>
      </c>
      <c r="G179" s="237" t="s">
        <v>67</v>
      </c>
      <c r="H179" s="237" t="s">
        <v>396</v>
      </c>
      <c r="I179" s="252">
        <v>8.33</v>
      </c>
      <c r="J179" s="295">
        <f t="shared" si="8"/>
        <v>255</v>
      </c>
      <c r="K179" s="296">
        <v>255</v>
      </c>
      <c r="L179" s="212" t="e">
        <f t="shared" si="9"/>
        <v>#DIV/0!</v>
      </c>
      <c r="M179" s="297" t="e">
        <f>IF(K179="nio",0,IF(K179&gt;0,VLOOKUP(G179,'3-Productie normen'!A:L,VLOOKUP(K179,'3-Productie normen'!$B$30:$C$36,2,FALSE),FALSE)))/VLOOKUP(B179,'2-Kosten per locatie'!$A$14:$C$26,3,FALSE)</f>
        <v>#DIV/0!</v>
      </c>
      <c r="N179" s="298"/>
      <c r="P179" s="299">
        <f t="shared" si="11"/>
        <v>2124.15</v>
      </c>
    </row>
    <row r="180" spans="1:16" ht="14.1" customHeight="1">
      <c r="A180" s="35">
        <v>180</v>
      </c>
      <c r="B180" s="249" t="s">
        <v>37</v>
      </c>
      <c r="C180" s="293"/>
      <c r="D180" s="434" t="s">
        <v>110</v>
      </c>
      <c r="E180" s="294"/>
      <c r="F180" s="250" t="s">
        <v>223</v>
      </c>
      <c r="G180" s="276" t="s">
        <v>59</v>
      </c>
      <c r="H180" s="237" t="s">
        <v>395</v>
      </c>
      <c r="I180" s="252">
        <v>4.05</v>
      </c>
      <c r="J180" s="295">
        <f t="shared" si="8"/>
        <v>255</v>
      </c>
      <c r="K180" s="296">
        <v>255</v>
      </c>
      <c r="L180" s="212" t="e">
        <f t="shared" si="9"/>
        <v>#DIV/0!</v>
      </c>
      <c r="M180" s="297" t="e">
        <f>IF(K180="nio",0,IF(K180&gt;0,VLOOKUP(G180,'3-Productie normen'!A:L,VLOOKUP(K180,'3-Productie normen'!$B$30:$C$36,2,FALSE),FALSE)))/VLOOKUP(B180,'2-Kosten per locatie'!$A$14:$C$26,3,FALSE)</f>
        <v>#DIV/0!</v>
      </c>
      <c r="N180" s="298"/>
      <c r="P180" s="299">
        <f t="shared" si="11"/>
        <v>1032.75</v>
      </c>
    </row>
    <row r="181" spans="1:16" ht="14.1" customHeight="1">
      <c r="A181" s="35">
        <v>181</v>
      </c>
      <c r="B181" s="249" t="s">
        <v>37</v>
      </c>
      <c r="C181" s="293"/>
      <c r="D181" s="434" t="s">
        <v>110</v>
      </c>
      <c r="E181" s="294"/>
      <c r="F181" s="250" t="s">
        <v>138</v>
      </c>
      <c r="G181" s="276" t="s">
        <v>59</v>
      </c>
      <c r="H181" s="237" t="s">
        <v>395</v>
      </c>
      <c r="I181" s="252">
        <v>3.34</v>
      </c>
      <c r="J181" s="295">
        <f t="shared" si="8"/>
        <v>255</v>
      </c>
      <c r="K181" s="296">
        <v>255</v>
      </c>
      <c r="L181" s="212" t="e">
        <f t="shared" si="9"/>
        <v>#DIV/0!</v>
      </c>
      <c r="M181" s="297" t="e">
        <f>IF(K181="nio",0,IF(K181&gt;0,VLOOKUP(G181,'3-Productie normen'!A:L,VLOOKUP(K181,'3-Productie normen'!$B$30:$C$36,2,FALSE),FALSE)))/VLOOKUP(B181,'2-Kosten per locatie'!$A$14:$C$26,3,FALSE)</f>
        <v>#DIV/0!</v>
      </c>
      <c r="N181" s="298"/>
      <c r="P181" s="299">
        <f t="shared" si="11"/>
        <v>851.69999999999993</v>
      </c>
    </row>
    <row r="182" spans="1:16" ht="14.1" customHeight="1">
      <c r="A182" s="35">
        <v>182</v>
      </c>
      <c r="B182" s="249" t="s">
        <v>37</v>
      </c>
      <c r="C182" s="293"/>
      <c r="D182" s="434" t="s">
        <v>110</v>
      </c>
      <c r="E182" s="47"/>
      <c r="F182" s="250" t="s">
        <v>116</v>
      </c>
      <c r="G182" s="48" t="s">
        <v>60</v>
      </c>
      <c r="H182" s="237" t="s">
        <v>396</v>
      </c>
      <c r="I182" s="252">
        <v>43.09</v>
      </c>
      <c r="J182" s="295">
        <f t="shared" si="8"/>
        <v>255</v>
      </c>
      <c r="K182" s="296">
        <v>255</v>
      </c>
      <c r="L182" s="212" t="e">
        <f t="shared" si="9"/>
        <v>#DIV/0!</v>
      </c>
      <c r="M182" s="297" t="e">
        <f>IF(K182="nio",0,IF(K182&gt;0,VLOOKUP(G182,'3-Productie normen'!A:L,VLOOKUP(K182,'3-Productie normen'!$B$30:$C$36,2,FALSE),FALSE)))/VLOOKUP(B182,'2-Kosten per locatie'!$A$14:$C$26,3,FALSE)</f>
        <v>#DIV/0!</v>
      </c>
      <c r="N182" s="298"/>
      <c r="P182" s="299">
        <f t="shared" si="11"/>
        <v>10987.95</v>
      </c>
    </row>
    <row r="183" spans="1:16" ht="14.1" customHeight="1">
      <c r="A183" s="35">
        <v>183</v>
      </c>
      <c r="B183" s="249" t="s">
        <v>37</v>
      </c>
      <c r="C183" s="293"/>
      <c r="D183" s="434" t="s">
        <v>224</v>
      </c>
      <c r="E183" s="294"/>
      <c r="F183" s="250" t="s">
        <v>222</v>
      </c>
      <c r="G183" s="237" t="s">
        <v>67</v>
      </c>
      <c r="H183" s="237" t="s">
        <v>396</v>
      </c>
      <c r="I183" s="252">
        <v>8.43</v>
      </c>
      <c r="J183" s="295">
        <f t="shared" si="8"/>
        <v>255</v>
      </c>
      <c r="K183" s="296">
        <v>255</v>
      </c>
      <c r="L183" s="212" t="e">
        <f t="shared" si="9"/>
        <v>#DIV/0!</v>
      </c>
      <c r="M183" s="297" t="e">
        <f>IF(K183="nio",0,IF(K183&gt;0,VLOOKUP(G183,'3-Productie normen'!A:L,VLOOKUP(K183,'3-Productie normen'!$B$30:$C$36,2,FALSE),FALSE)))/VLOOKUP(B183,'2-Kosten per locatie'!$A$14:$C$26,3,FALSE)</f>
        <v>#DIV/0!</v>
      </c>
      <c r="N183" s="298"/>
      <c r="P183" s="299">
        <f t="shared" si="11"/>
        <v>2149.65</v>
      </c>
    </row>
    <row r="184" spans="1:16" ht="14.1" customHeight="1">
      <c r="A184" s="35">
        <v>184</v>
      </c>
      <c r="B184" s="249" t="s">
        <v>37</v>
      </c>
      <c r="C184" s="293"/>
      <c r="D184" s="434" t="s">
        <v>224</v>
      </c>
      <c r="E184" s="294"/>
      <c r="F184" s="250" t="s">
        <v>116</v>
      </c>
      <c r="G184" s="48" t="s">
        <v>60</v>
      </c>
      <c r="H184" s="237" t="s">
        <v>396</v>
      </c>
      <c r="I184" s="252">
        <v>26.51</v>
      </c>
      <c r="J184" s="295">
        <f t="shared" si="8"/>
        <v>255</v>
      </c>
      <c r="K184" s="296">
        <v>255</v>
      </c>
      <c r="L184" s="212" t="e">
        <f t="shared" si="9"/>
        <v>#DIV/0!</v>
      </c>
      <c r="M184" s="297" t="e">
        <f>IF(K184="nio",0,IF(K184&gt;0,VLOOKUP(G184,'3-Productie normen'!A:L,VLOOKUP(K184,'3-Productie normen'!$B$30:$C$36,2,FALSE),FALSE)))/VLOOKUP(B184,'2-Kosten per locatie'!$A$14:$C$26,3,FALSE)</f>
        <v>#DIV/0!</v>
      </c>
      <c r="N184" s="298"/>
      <c r="P184" s="299">
        <f t="shared" si="11"/>
        <v>6760.05</v>
      </c>
    </row>
    <row r="185" spans="1:16" ht="14.1" customHeight="1">
      <c r="A185" s="35">
        <v>185</v>
      </c>
      <c r="B185" s="249" t="s">
        <v>37</v>
      </c>
      <c r="C185" s="293"/>
      <c r="D185" s="434" t="s">
        <v>224</v>
      </c>
      <c r="E185" s="294"/>
      <c r="F185" s="250" t="s">
        <v>119</v>
      </c>
      <c r="G185" s="237" t="s">
        <v>67</v>
      </c>
      <c r="H185" s="237" t="s">
        <v>396</v>
      </c>
      <c r="I185" s="252">
        <v>2.62</v>
      </c>
      <c r="J185" s="295">
        <f t="shared" si="8"/>
        <v>255</v>
      </c>
      <c r="K185" s="296">
        <v>255</v>
      </c>
      <c r="L185" s="212" t="e">
        <f t="shared" si="9"/>
        <v>#DIV/0!</v>
      </c>
      <c r="M185" s="297" t="e">
        <f>IF(K185="nio",0,IF(K185&gt;0,VLOOKUP(G185,'3-Productie normen'!A:L,VLOOKUP(K185,'3-Productie normen'!$B$30:$C$36,2,FALSE),FALSE)))/VLOOKUP(B185,'2-Kosten per locatie'!$A$14:$C$26,3,FALSE)</f>
        <v>#DIV/0!</v>
      </c>
      <c r="N185" s="298"/>
      <c r="P185" s="299">
        <f t="shared" si="11"/>
        <v>668.1</v>
      </c>
    </row>
    <row r="186" spans="1:16" ht="14.1" customHeight="1">
      <c r="A186" s="35">
        <v>186</v>
      </c>
      <c r="B186" s="249" t="s">
        <v>37</v>
      </c>
      <c r="C186" s="293"/>
      <c r="D186" s="434" t="s">
        <v>224</v>
      </c>
      <c r="E186" s="294"/>
      <c r="F186" s="250" t="s">
        <v>134</v>
      </c>
      <c r="G186" s="237" t="s">
        <v>70</v>
      </c>
      <c r="H186" s="237" t="s">
        <v>396</v>
      </c>
      <c r="I186" s="252">
        <v>2.1800000000000002</v>
      </c>
      <c r="J186" s="295">
        <f t="shared" si="8"/>
        <v>0</v>
      </c>
      <c r="K186" s="296" t="s">
        <v>385</v>
      </c>
      <c r="L186" s="212">
        <f t="shared" si="9"/>
        <v>0</v>
      </c>
      <c r="M186" s="297" t="e">
        <f>IF(K186="nio",0,IF(K186&gt;0,VLOOKUP(G186,'3-Productie normen'!A:L,VLOOKUP(K186,'3-Productie normen'!$B$30:$C$36,2,FALSE),FALSE)))/VLOOKUP(B186,'2-Kosten per locatie'!$A$14:$C$26,3,FALSE)</f>
        <v>#DIV/0!</v>
      </c>
      <c r="N186" s="298"/>
      <c r="P186" s="299">
        <f t="shared" si="11"/>
        <v>0</v>
      </c>
    </row>
    <row r="187" spans="1:16" ht="14.1" customHeight="1">
      <c r="A187" s="35">
        <v>187</v>
      </c>
      <c r="B187" s="249" t="s">
        <v>37</v>
      </c>
      <c r="C187" s="293"/>
      <c r="D187" s="434" t="s">
        <v>224</v>
      </c>
      <c r="E187" s="294"/>
      <c r="F187" s="250" t="s">
        <v>134</v>
      </c>
      <c r="G187" s="237" t="s">
        <v>70</v>
      </c>
      <c r="H187" s="237" t="s">
        <v>396</v>
      </c>
      <c r="I187" s="252">
        <v>26.66</v>
      </c>
      <c r="J187" s="295">
        <f t="shared" si="8"/>
        <v>0</v>
      </c>
      <c r="K187" s="296" t="s">
        <v>385</v>
      </c>
      <c r="L187" s="212">
        <f t="shared" si="9"/>
        <v>0</v>
      </c>
      <c r="M187" s="297" t="e">
        <f>IF(K187="nio",0,IF(K187&gt;0,VLOOKUP(G187,'3-Productie normen'!A:L,VLOOKUP(K187,'3-Productie normen'!$B$30:$C$36,2,FALSE),FALSE)))/VLOOKUP(B187,'2-Kosten per locatie'!$A$14:$C$26,3,FALSE)</f>
        <v>#DIV/0!</v>
      </c>
      <c r="N187" s="298"/>
      <c r="P187" s="299">
        <f t="shared" si="11"/>
        <v>0</v>
      </c>
    </row>
    <row r="188" spans="1:16" ht="14.1" customHeight="1">
      <c r="A188" s="35">
        <v>188</v>
      </c>
      <c r="B188" s="249" t="s">
        <v>37</v>
      </c>
      <c r="C188" s="293"/>
      <c r="D188" s="434" t="s">
        <v>224</v>
      </c>
      <c r="E188" s="294"/>
      <c r="F188" s="250" t="s">
        <v>134</v>
      </c>
      <c r="G188" s="237" t="s">
        <v>70</v>
      </c>
      <c r="H188" s="237" t="s">
        <v>396</v>
      </c>
      <c r="I188" s="252">
        <v>26.83</v>
      </c>
      <c r="J188" s="295">
        <f t="shared" si="8"/>
        <v>0</v>
      </c>
      <c r="K188" s="296" t="s">
        <v>385</v>
      </c>
      <c r="L188" s="212">
        <f t="shared" si="9"/>
        <v>0</v>
      </c>
      <c r="M188" s="297" t="e">
        <f>IF(K188="nio",0,IF(K188&gt;0,VLOOKUP(G188,'3-Productie normen'!A:L,VLOOKUP(K188,'3-Productie normen'!$B$30:$C$36,2,FALSE),FALSE)))/VLOOKUP(B188,'2-Kosten per locatie'!$A$14:$C$26,3,FALSE)</f>
        <v>#DIV/0!</v>
      </c>
      <c r="N188" s="298"/>
      <c r="P188" s="299">
        <f t="shared" si="11"/>
        <v>0</v>
      </c>
    </row>
    <row r="189" spans="1:16" ht="14.1" customHeight="1">
      <c r="A189" s="35">
        <v>189</v>
      </c>
      <c r="B189" s="249" t="s">
        <v>37</v>
      </c>
      <c r="C189" s="293"/>
      <c r="D189" s="434" t="s">
        <v>224</v>
      </c>
      <c r="E189" s="294"/>
      <c r="F189" s="250" t="s">
        <v>134</v>
      </c>
      <c r="G189" s="237" t="s">
        <v>70</v>
      </c>
      <c r="H189" s="237" t="s">
        <v>396</v>
      </c>
      <c r="I189" s="252">
        <v>10.06</v>
      </c>
      <c r="J189" s="295">
        <f t="shared" si="8"/>
        <v>0</v>
      </c>
      <c r="K189" s="296" t="s">
        <v>385</v>
      </c>
      <c r="L189" s="212">
        <f t="shared" si="9"/>
        <v>0</v>
      </c>
      <c r="M189" s="297" t="e">
        <f>IF(K189="nio",0,IF(K189&gt;0,VLOOKUP(G189,'3-Productie normen'!A:L,VLOOKUP(K189,'3-Productie normen'!$B$30:$C$36,2,FALSE),FALSE)))/VLOOKUP(B189,'2-Kosten per locatie'!$A$14:$C$26,3,FALSE)</f>
        <v>#DIV/0!</v>
      </c>
      <c r="N189" s="298"/>
      <c r="P189" s="299">
        <f t="shared" si="11"/>
        <v>0</v>
      </c>
    </row>
    <row r="190" spans="1:16" ht="14.1" customHeight="1">
      <c r="A190" s="35">
        <v>190</v>
      </c>
      <c r="B190" s="249" t="s">
        <v>37</v>
      </c>
      <c r="C190" s="293"/>
      <c r="D190" s="434" t="s">
        <v>224</v>
      </c>
      <c r="E190" s="294"/>
      <c r="F190" s="250" t="s">
        <v>219</v>
      </c>
      <c r="G190" s="276" t="s">
        <v>58</v>
      </c>
      <c r="H190" s="237" t="s">
        <v>396</v>
      </c>
      <c r="I190" s="252">
        <v>96.89</v>
      </c>
      <c r="J190" s="295">
        <f t="shared" si="8"/>
        <v>255</v>
      </c>
      <c r="K190" s="296">
        <v>255</v>
      </c>
      <c r="L190" s="212" t="e">
        <f t="shared" si="9"/>
        <v>#DIV/0!</v>
      </c>
      <c r="M190" s="297" t="e">
        <f>IF(K190="nio",0,IF(K190&gt;0,VLOOKUP(G190,'3-Productie normen'!A:L,VLOOKUP(K190,'3-Productie normen'!$B$30:$C$36,2,FALSE),FALSE)))/VLOOKUP(B190,'2-Kosten per locatie'!$A$14:$C$26,3,FALSE)</f>
        <v>#DIV/0!</v>
      </c>
      <c r="N190" s="298"/>
      <c r="P190" s="299">
        <f t="shared" si="11"/>
        <v>24706.95</v>
      </c>
    </row>
    <row r="191" spans="1:16" ht="14.1" customHeight="1">
      <c r="A191" s="35">
        <v>191</v>
      </c>
      <c r="B191" s="249" t="s">
        <v>37</v>
      </c>
      <c r="C191" s="293"/>
      <c r="D191" s="434" t="s">
        <v>224</v>
      </c>
      <c r="E191" s="294"/>
      <c r="F191" s="250" t="s">
        <v>138</v>
      </c>
      <c r="G191" s="276" t="s">
        <v>59</v>
      </c>
      <c r="H191" s="237" t="s">
        <v>395</v>
      </c>
      <c r="I191" s="252">
        <v>5.87</v>
      </c>
      <c r="J191" s="295">
        <f t="shared" si="8"/>
        <v>255</v>
      </c>
      <c r="K191" s="296">
        <v>255</v>
      </c>
      <c r="L191" s="212" t="e">
        <f t="shared" si="9"/>
        <v>#DIV/0!</v>
      </c>
      <c r="M191" s="297" t="e">
        <f>IF(K191="nio",0,IF(K191&gt;0,VLOOKUP(G191,'3-Productie normen'!A:L,VLOOKUP(K191,'3-Productie normen'!$B$30:$C$36,2,FALSE),FALSE)))/VLOOKUP(B191,'2-Kosten per locatie'!$A$14:$C$26,3,FALSE)</f>
        <v>#DIV/0!</v>
      </c>
      <c r="N191" s="298"/>
      <c r="P191" s="299">
        <f t="shared" si="11"/>
        <v>1496.8500000000001</v>
      </c>
    </row>
    <row r="192" spans="1:16" ht="14.1" customHeight="1">
      <c r="A192" s="35">
        <v>192</v>
      </c>
      <c r="B192" s="249" t="s">
        <v>37</v>
      </c>
      <c r="C192" s="293"/>
      <c r="D192" s="434" t="s">
        <v>224</v>
      </c>
      <c r="E192" s="294"/>
      <c r="F192" s="250" t="s">
        <v>138</v>
      </c>
      <c r="G192" s="276" t="s">
        <v>59</v>
      </c>
      <c r="H192" s="237" t="s">
        <v>395</v>
      </c>
      <c r="I192" s="252">
        <v>1.98</v>
      </c>
      <c r="J192" s="295">
        <f t="shared" si="8"/>
        <v>255</v>
      </c>
      <c r="K192" s="296">
        <v>255</v>
      </c>
      <c r="L192" s="212" t="e">
        <f t="shared" si="9"/>
        <v>#DIV/0!</v>
      </c>
      <c r="M192" s="297" t="e">
        <f>IF(K192="nio",0,IF(K192&gt;0,VLOOKUP(G192,'3-Productie normen'!A:L,VLOOKUP(K192,'3-Productie normen'!$B$30:$C$36,2,FALSE),FALSE)))/VLOOKUP(B192,'2-Kosten per locatie'!$A$14:$C$26,3,FALSE)</f>
        <v>#DIV/0!</v>
      </c>
      <c r="N192" s="298"/>
      <c r="P192" s="299">
        <f t="shared" si="11"/>
        <v>504.9</v>
      </c>
    </row>
    <row r="193" spans="1:17" ht="14.1" customHeight="1">
      <c r="A193" s="35">
        <v>193</v>
      </c>
      <c r="B193" s="249" t="s">
        <v>37</v>
      </c>
      <c r="C193" s="293"/>
      <c r="D193" s="434" t="s">
        <v>224</v>
      </c>
      <c r="E193" s="294"/>
      <c r="F193" s="250" t="s">
        <v>138</v>
      </c>
      <c r="G193" s="276" t="s">
        <v>59</v>
      </c>
      <c r="H193" s="237" t="s">
        <v>395</v>
      </c>
      <c r="I193" s="252">
        <v>3.28</v>
      </c>
      <c r="J193" s="295">
        <f t="shared" si="8"/>
        <v>255</v>
      </c>
      <c r="K193" s="296">
        <v>255</v>
      </c>
      <c r="L193" s="212" t="e">
        <f t="shared" si="9"/>
        <v>#DIV/0!</v>
      </c>
      <c r="M193" s="297" t="e">
        <f>IF(K193="nio",0,IF(K193&gt;0,VLOOKUP(G193,'3-Productie normen'!A:L,VLOOKUP(K193,'3-Productie normen'!$B$30:$C$36,2,FALSE),FALSE)))/VLOOKUP(B193,'2-Kosten per locatie'!$A$14:$C$26,3,FALSE)</f>
        <v>#DIV/0!</v>
      </c>
      <c r="N193" s="298"/>
      <c r="P193" s="299">
        <f t="shared" si="11"/>
        <v>836.4</v>
      </c>
    </row>
    <row r="194" spans="1:17" ht="14.1" customHeight="1">
      <c r="A194" s="35">
        <v>194</v>
      </c>
      <c r="B194" s="249" t="s">
        <v>37</v>
      </c>
      <c r="C194" s="293"/>
      <c r="D194" s="434" t="s">
        <v>225</v>
      </c>
      <c r="E194" s="294"/>
      <c r="F194" s="250" t="s">
        <v>119</v>
      </c>
      <c r="G194" s="237" t="s">
        <v>67</v>
      </c>
      <c r="H194" s="237" t="s">
        <v>396</v>
      </c>
      <c r="I194" s="252">
        <v>3.43</v>
      </c>
      <c r="J194" s="295">
        <f t="shared" si="8"/>
        <v>255</v>
      </c>
      <c r="K194" s="296">
        <v>255</v>
      </c>
      <c r="L194" s="212" t="e">
        <f t="shared" si="9"/>
        <v>#DIV/0!</v>
      </c>
      <c r="M194" s="297" t="e">
        <f>IF(K194="nio",0,IF(K194&gt;0,VLOOKUP(G194,'3-Productie normen'!A:L,VLOOKUP(K194,'3-Productie normen'!$B$30:$C$36,2,FALSE),FALSE)))/VLOOKUP(B194,'2-Kosten per locatie'!$A$14:$C$26,3,FALSE)</f>
        <v>#DIV/0!</v>
      </c>
      <c r="N194" s="298"/>
      <c r="P194" s="299">
        <f t="shared" si="11"/>
        <v>874.65000000000009</v>
      </c>
    </row>
    <row r="195" spans="1:17" ht="14.1" customHeight="1">
      <c r="A195" s="35">
        <f>A194+1</f>
        <v>195</v>
      </c>
      <c r="B195" s="249" t="s">
        <v>399</v>
      </c>
      <c r="C195" s="293"/>
      <c r="D195" s="433" t="s">
        <v>95</v>
      </c>
      <c r="E195" s="294"/>
      <c r="F195" s="250" t="s">
        <v>120</v>
      </c>
      <c r="G195" s="237" t="s">
        <v>60</v>
      </c>
      <c r="H195" s="237" t="s">
        <v>397</v>
      </c>
      <c r="I195" s="252">
        <v>79.5</v>
      </c>
      <c r="J195" s="295">
        <f t="shared" si="8"/>
        <v>200</v>
      </c>
      <c r="K195" s="296">
        <v>200</v>
      </c>
      <c r="L195" s="212" t="e">
        <f t="shared" si="9"/>
        <v>#DIV/0!</v>
      </c>
      <c r="M195" s="297" t="e">
        <f>IF(K195="nio",0,IF(K195&gt;0,VLOOKUP(G195,'3-Productie normen'!A:L,VLOOKUP(K195,'3-Productie normen'!$B$30:$C$36,2,FALSE),FALSE)))/VLOOKUP(B195,'2-Kosten per locatie'!$A$14:$C$26,3,FALSE)</f>
        <v>#DIV/0!</v>
      </c>
      <c r="N195" s="298" t="s">
        <v>60</v>
      </c>
      <c r="P195" s="299">
        <f t="shared" ref="P195:P242" si="12">J195*I195</f>
        <v>15900</v>
      </c>
      <c r="Q195" s="56"/>
    </row>
    <row r="196" spans="1:17" ht="14.1" customHeight="1">
      <c r="A196" s="35">
        <f t="shared" ref="A196:A242" si="13">A195+1</f>
        <v>196</v>
      </c>
      <c r="B196" s="249" t="s">
        <v>399</v>
      </c>
      <c r="C196" s="293"/>
      <c r="D196" s="433" t="s">
        <v>95</v>
      </c>
      <c r="E196" s="294"/>
      <c r="F196" s="250" t="s">
        <v>401</v>
      </c>
      <c r="G196" s="237" t="s">
        <v>66</v>
      </c>
      <c r="H196" s="237" t="s">
        <v>432</v>
      </c>
      <c r="I196" s="252">
        <v>6.75</v>
      </c>
      <c r="J196" s="295">
        <f t="shared" si="8"/>
        <v>200</v>
      </c>
      <c r="K196" s="296">
        <v>200</v>
      </c>
      <c r="L196" s="212" t="e">
        <f t="shared" si="9"/>
        <v>#DIV/0!</v>
      </c>
      <c r="M196" s="297" t="e">
        <f>IF(K196="nio",0,IF(K196&gt;0,VLOOKUP(G196,'3-Productie normen'!A:L,VLOOKUP(K196,'3-Productie normen'!$B$30:$C$36,2,FALSE),FALSE)))/VLOOKUP(B196,'2-Kosten per locatie'!$A$14:$C$26,3,FALSE)</f>
        <v>#DIV/0!</v>
      </c>
      <c r="N196" s="298" t="s">
        <v>66</v>
      </c>
      <c r="P196" s="299">
        <f t="shared" si="12"/>
        <v>1350</v>
      </c>
      <c r="Q196" s="56"/>
    </row>
    <row r="197" spans="1:17" ht="14.1" customHeight="1">
      <c r="A197" s="35">
        <f t="shared" si="13"/>
        <v>197</v>
      </c>
      <c r="B197" s="249" t="s">
        <v>399</v>
      </c>
      <c r="C197" s="293"/>
      <c r="D197" s="433" t="s">
        <v>95</v>
      </c>
      <c r="E197" s="294"/>
      <c r="F197" s="250" t="s">
        <v>402</v>
      </c>
      <c r="G197" s="237" t="s">
        <v>66</v>
      </c>
      <c r="H197" s="237" t="s">
        <v>432</v>
      </c>
      <c r="I197" s="252">
        <v>6.75</v>
      </c>
      <c r="J197" s="295">
        <f t="shared" si="8"/>
        <v>200</v>
      </c>
      <c r="K197" s="296">
        <v>200</v>
      </c>
      <c r="L197" s="212" t="e">
        <f t="shared" si="9"/>
        <v>#DIV/0!</v>
      </c>
      <c r="M197" s="297" t="e">
        <f>IF(K197="nio",0,IF(K197&gt;0,VLOOKUP(G197,'3-Productie normen'!A:L,VLOOKUP(K197,'3-Productie normen'!$B$30:$C$36,2,FALSE),FALSE)))/VLOOKUP(B197,'2-Kosten per locatie'!$A$14:$C$26,3,FALSE)</f>
        <v>#DIV/0!</v>
      </c>
      <c r="N197" s="298" t="s">
        <v>66</v>
      </c>
      <c r="P197" s="299">
        <f t="shared" si="12"/>
        <v>1350</v>
      </c>
      <c r="Q197" s="56"/>
    </row>
    <row r="198" spans="1:17" ht="14.1" customHeight="1">
      <c r="A198" s="35">
        <f t="shared" si="13"/>
        <v>198</v>
      </c>
      <c r="B198" s="249" t="s">
        <v>399</v>
      </c>
      <c r="C198" s="293"/>
      <c r="D198" s="433" t="s">
        <v>95</v>
      </c>
      <c r="E198" s="294"/>
      <c r="F198" s="250" t="s">
        <v>434</v>
      </c>
      <c r="G198" s="237" t="s">
        <v>59</v>
      </c>
      <c r="H198" s="237" t="s">
        <v>397</v>
      </c>
      <c r="I198" s="252">
        <v>14.45</v>
      </c>
      <c r="J198" s="295">
        <f t="shared" si="8"/>
        <v>200</v>
      </c>
      <c r="K198" s="296">
        <v>200</v>
      </c>
      <c r="L198" s="212" t="e">
        <f t="shared" si="9"/>
        <v>#DIV/0!</v>
      </c>
      <c r="M198" s="297" t="e">
        <f>IF(K198="nio",0,IF(K198&gt;0,VLOOKUP(G198,'3-Productie normen'!A:L,VLOOKUP(K198,'3-Productie normen'!$B$30:$C$36,2,FALSE),FALSE)))/VLOOKUP(B198,'2-Kosten per locatie'!$A$14:$C$26,3,FALSE)</f>
        <v>#DIV/0!</v>
      </c>
      <c r="N198" s="298" t="s">
        <v>59</v>
      </c>
      <c r="P198" s="299">
        <f t="shared" si="12"/>
        <v>2890</v>
      </c>
      <c r="Q198" s="56"/>
    </row>
    <row r="199" spans="1:17" ht="14.1" customHeight="1">
      <c r="A199" s="35">
        <f t="shared" si="13"/>
        <v>199</v>
      </c>
      <c r="B199" s="249" t="s">
        <v>399</v>
      </c>
      <c r="C199" s="293"/>
      <c r="D199" s="433" t="s">
        <v>95</v>
      </c>
      <c r="E199" s="294"/>
      <c r="F199" s="250" t="s">
        <v>403</v>
      </c>
      <c r="G199" s="237" t="s">
        <v>59</v>
      </c>
      <c r="H199" s="237" t="s">
        <v>397</v>
      </c>
      <c r="I199" s="252">
        <v>5.0688000000000004</v>
      </c>
      <c r="J199" s="295">
        <f t="shared" si="8"/>
        <v>200</v>
      </c>
      <c r="K199" s="296">
        <v>200</v>
      </c>
      <c r="L199" s="212" t="e">
        <f t="shared" si="9"/>
        <v>#DIV/0!</v>
      </c>
      <c r="M199" s="297" t="e">
        <f>IF(K199="nio",0,IF(K199&gt;0,VLOOKUP(G199,'3-Productie normen'!A:L,VLOOKUP(K199,'3-Productie normen'!$B$30:$C$36,2,FALSE),FALSE)))/VLOOKUP(B199,'2-Kosten per locatie'!$A$14:$C$26,3,FALSE)</f>
        <v>#DIV/0!</v>
      </c>
      <c r="N199" s="298" t="s">
        <v>59</v>
      </c>
      <c r="P199" s="299">
        <f t="shared" si="12"/>
        <v>1013.7600000000001</v>
      </c>
      <c r="Q199" s="56"/>
    </row>
    <row r="200" spans="1:17" ht="14.1" customHeight="1">
      <c r="A200" s="35">
        <f t="shared" si="13"/>
        <v>200</v>
      </c>
      <c r="B200" s="249" t="s">
        <v>399</v>
      </c>
      <c r="C200" s="293"/>
      <c r="D200" s="433" t="s">
        <v>95</v>
      </c>
      <c r="E200" s="294"/>
      <c r="F200" s="250" t="s">
        <v>431</v>
      </c>
      <c r="G200" s="237" t="s">
        <v>59</v>
      </c>
      <c r="H200" s="237" t="s">
        <v>397</v>
      </c>
      <c r="I200" s="252">
        <v>5.8479999999999999</v>
      </c>
      <c r="J200" s="295">
        <f t="shared" si="8"/>
        <v>200</v>
      </c>
      <c r="K200" s="296">
        <v>200</v>
      </c>
      <c r="L200" s="212" t="e">
        <f t="shared" si="9"/>
        <v>#DIV/0!</v>
      </c>
      <c r="M200" s="297" t="e">
        <f>IF(K200="nio",0,IF(K200&gt;0,VLOOKUP(G200,'3-Productie normen'!A:L,VLOOKUP(K200,'3-Productie normen'!$B$30:$C$36,2,FALSE),FALSE)))/VLOOKUP(B200,'2-Kosten per locatie'!$A$14:$C$26,3,FALSE)</f>
        <v>#DIV/0!</v>
      </c>
      <c r="N200" s="298" t="s">
        <v>59</v>
      </c>
      <c r="P200" s="299">
        <f t="shared" si="12"/>
        <v>1169.5999999999999</v>
      </c>
    </row>
    <row r="201" spans="1:17" ht="14.1" customHeight="1">
      <c r="A201" s="35">
        <f t="shared" si="13"/>
        <v>201</v>
      </c>
      <c r="B201" s="249" t="s">
        <v>399</v>
      </c>
      <c r="C201" s="293"/>
      <c r="D201" s="433" t="s">
        <v>95</v>
      </c>
      <c r="E201" s="294"/>
      <c r="F201" s="250" t="s">
        <v>434</v>
      </c>
      <c r="G201" s="237" t="s">
        <v>59</v>
      </c>
      <c r="H201" s="237" t="s">
        <v>397</v>
      </c>
      <c r="I201" s="252">
        <v>21.69</v>
      </c>
      <c r="J201" s="295">
        <f t="shared" si="8"/>
        <v>200</v>
      </c>
      <c r="K201" s="296">
        <v>200</v>
      </c>
      <c r="L201" s="212" t="e">
        <f t="shared" si="9"/>
        <v>#DIV/0!</v>
      </c>
      <c r="M201" s="297" t="e">
        <f>IF(K201="nio",0,IF(K201&gt;0,VLOOKUP(G201,'3-Productie normen'!A:L,VLOOKUP(K201,'3-Productie normen'!$B$30:$C$36,2,FALSE),FALSE)))/VLOOKUP(B201,'2-Kosten per locatie'!$A$14:$C$26,3,FALSE)</f>
        <v>#DIV/0!</v>
      </c>
      <c r="N201" s="298" t="s">
        <v>59</v>
      </c>
      <c r="P201" s="299">
        <f t="shared" si="12"/>
        <v>4338</v>
      </c>
    </row>
    <row r="202" spans="1:17" ht="14.1" customHeight="1">
      <c r="A202" s="35">
        <f t="shared" si="13"/>
        <v>202</v>
      </c>
      <c r="B202" s="249" t="s">
        <v>399</v>
      </c>
      <c r="C202" s="293"/>
      <c r="D202" s="433" t="s">
        <v>95</v>
      </c>
      <c r="E202" s="294"/>
      <c r="F202" s="250" t="s">
        <v>404</v>
      </c>
      <c r="G202" s="237" t="s">
        <v>59</v>
      </c>
      <c r="H202" s="237" t="s">
        <v>397</v>
      </c>
      <c r="I202" s="252">
        <v>2.5344000000000002</v>
      </c>
      <c r="J202" s="295">
        <f t="shared" ref="J202:J242" si="14">SUM(K202:K202)</f>
        <v>200</v>
      </c>
      <c r="K202" s="296">
        <v>200</v>
      </c>
      <c r="L202" s="212" t="e">
        <f t="shared" ref="L202:L242" si="15">IF(K202="nio",0,IF(K202&gt;0,K202*I202/M202,0))</f>
        <v>#DIV/0!</v>
      </c>
      <c r="M202" s="297" t="e">
        <f>IF(K202="nio",0,IF(K202&gt;0,VLOOKUP(G202,'3-Productie normen'!A:L,VLOOKUP(K202,'3-Productie normen'!$B$30:$C$36,2,FALSE),FALSE)))/VLOOKUP(B202,'2-Kosten per locatie'!$A$14:$C$26,3,FALSE)</f>
        <v>#DIV/0!</v>
      </c>
      <c r="N202" s="298" t="s">
        <v>59</v>
      </c>
      <c r="P202" s="299">
        <f t="shared" si="12"/>
        <v>506.88000000000005</v>
      </c>
    </row>
    <row r="203" spans="1:17" ht="14.1" customHeight="1">
      <c r="A203" s="35">
        <f t="shared" si="13"/>
        <v>203</v>
      </c>
      <c r="B203" s="249" t="s">
        <v>399</v>
      </c>
      <c r="C203" s="293"/>
      <c r="D203" s="433" t="s">
        <v>95</v>
      </c>
      <c r="E203" s="294"/>
      <c r="F203" s="250" t="s">
        <v>405</v>
      </c>
      <c r="G203" s="237" t="s">
        <v>59</v>
      </c>
      <c r="H203" s="237" t="s">
        <v>397</v>
      </c>
      <c r="I203" s="252">
        <v>2.9750000000000001</v>
      </c>
      <c r="J203" s="295">
        <f t="shared" si="14"/>
        <v>200</v>
      </c>
      <c r="K203" s="296">
        <v>200</v>
      </c>
      <c r="L203" s="212" t="e">
        <f t="shared" si="15"/>
        <v>#DIV/0!</v>
      </c>
      <c r="M203" s="297" t="e">
        <f>IF(K203="nio",0,IF(K203&gt;0,VLOOKUP(G203,'3-Productie normen'!A:L,VLOOKUP(K203,'3-Productie normen'!$B$30:$C$36,2,FALSE),FALSE)))/VLOOKUP(B203,'2-Kosten per locatie'!$A$14:$C$26,3,FALSE)</f>
        <v>#DIV/0!</v>
      </c>
      <c r="N203" s="298" t="s">
        <v>59</v>
      </c>
      <c r="P203" s="299">
        <f t="shared" si="12"/>
        <v>595</v>
      </c>
    </row>
    <row r="204" spans="1:17" ht="14.1" customHeight="1">
      <c r="A204" s="35">
        <f t="shared" si="13"/>
        <v>204</v>
      </c>
      <c r="B204" s="249" t="s">
        <v>399</v>
      </c>
      <c r="C204" s="293"/>
      <c r="D204" s="433" t="s">
        <v>95</v>
      </c>
      <c r="E204" s="294"/>
      <c r="F204" s="250" t="s">
        <v>184</v>
      </c>
      <c r="G204" s="237" t="s">
        <v>68</v>
      </c>
      <c r="H204" s="237" t="s">
        <v>397</v>
      </c>
      <c r="I204" s="252">
        <v>2.4699999999999998</v>
      </c>
      <c r="J204" s="295">
        <f t="shared" si="14"/>
        <v>200</v>
      </c>
      <c r="K204" s="296">
        <v>200</v>
      </c>
      <c r="L204" s="212" t="e">
        <f t="shared" si="15"/>
        <v>#DIV/0!</v>
      </c>
      <c r="M204" s="297" t="e">
        <f>IF(K204="nio",0,IF(K204&gt;0,VLOOKUP(G204,'3-Productie normen'!A:L,VLOOKUP(K204,'3-Productie normen'!$B$30:$C$36,2,FALSE),FALSE)))/VLOOKUP(B204,'2-Kosten per locatie'!$A$14:$C$26,3,FALSE)</f>
        <v>#DIV/0!</v>
      </c>
      <c r="N204" s="298" t="s">
        <v>68</v>
      </c>
      <c r="P204" s="299">
        <f t="shared" si="12"/>
        <v>493.99999999999994</v>
      </c>
    </row>
    <row r="205" spans="1:17" ht="14.1" customHeight="1">
      <c r="A205" s="35">
        <f t="shared" si="13"/>
        <v>205</v>
      </c>
      <c r="B205" s="249" t="s">
        <v>399</v>
      </c>
      <c r="C205" s="293"/>
      <c r="D205" s="433" t="s">
        <v>95</v>
      </c>
      <c r="E205" s="294"/>
      <c r="F205" s="250" t="s">
        <v>119</v>
      </c>
      <c r="G205" s="237" t="s">
        <v>67</v>
      </c>
      <c r="H205" s="237" t="s">
        <v>397</v>
      </c>
      <c r="I205" s="252">
        <v>5.95</v>
      </c>
      <c r="J205" s="295">
        <f t="shared" si="14"/>
        <v>200</v>
      </c>
      <c r="K205" s="296">
        <v>200</v>
      </c>
      <c r="L205" s="212" t="e">
        <f t="shared" si="15"/>
        <v>#DIV/0!</v>
      </c>
      <c r="M205" s="297" t="e">
        <f>IF(K205="nio",0,IF(K205&gt;0,VLOOKUP(G205,'3-Productie normen'!A:L,VLOOKUP(K205,'3-Productie normen'!$B$30:$C$36,2,FALSE),FALSE)))/VLOOKUP(B205,'2-Kosten per locatie'!$A$14:$C$26,3,FALSE)</f>
        <v>#DIV/0!</v>
      </c>
      <c r="N205" s="298" t="s">
        <v>67</v>
      </c>
      <c r="P205" s="299">
        <f t="shared" si="12"/>
        <v>1190</v>
      </c>
    </row>
    <row r="206" spans="1:17" ht="14.1" customHeight="1">
      <c r="A206" s="35">
        <f t="shared" si="13"/>
        <v>206</v>
      </c>
      <c r="B206" s="249" t="s">
        <v>399</v>
      </c>
      <c r="C206" s="293"/>
      <c r="D206" s="433" t="s">
        <v>400</v>
      </c>
      <c r="E206" s="294"/>
      <c r="F206" s="250" t="s">
        <v>135</v>
      </c>
      <c r="G206" s="237" t="s">
        <v>60</v>
      </c>
      <c r="H206" s="237" t="s">
        <v>397</v>
      </c>
      <c r="I206" s="252">
        <v>15.4375</v>
      </c>
      <c r="J206" s="295">
        <f t="shared" si="14"/>
        <v>200</v>
      </c>
      <c r="K206" s="296">
        <v>200</v>
      </c>
      <c r="L206" s="212" t="e">
        <f t="shared" si="15"/>
        <v>#DIV/0!</v>
      </c>
      <c r="M206" s="297" t="e">
        <f>IF(K206="nio",0,IF(K206&gt;0,VLOOKUP(G206,'3-Productie normen'!A:L,VLOOKUP(K206,'3-Productie normen'!$B$30:$C$36,2,FALSE),FALSE)))/VLOOKUP(B206,'2-Kosten per locatie'!$A$14:$C$26,3,FALSE)</f>
        <v>#DIV/0!</v>
      </c>
      <c r="N206" s="298" t="s">
        <v>60</v>
      </c>
      <c r="P206" s="299">
        <f t="shared" si="12"/>
        <v>3087.5</v>
      </c>
    </row>
    <row r="207" spans="1:17" ht="14.1" customHeight="1">
      <c r="A207" s="35">
        <f t="shared" si="13"/>
        <v>207</v>
      </c>
      <c r="B207" s="249" t="s">
        <v>399</v>
      </c>
      <c r="C207" s="293"/>
      <c r="D207" s="433">
        <v>1</v>
      </c>
      <c r="E207" s="294"/>
      <c r="F207" s="250" t="s">
        <v>119</v>
      </c>
      <c r="G207" s="237" t="s">
        <v>67</v>
      </c>
      <c r="H207" s="237" t="s">
        <v>397</v>
      </c>
      <c r="I207" s="252">
        <v>12</v>
      </c>
      <c r="J207" s="295">
        <f t="shared" si="14"/>
        <v>200</v>
      </c>
      <c r="K207" s="296">
        <v>200</v>
      </c>
      <c r="L207" s="212" t="e">
        <f t="shared" si="15"/>
        <v>#DIV/0!</v>
      </c>
      <c r="M207" s="297" t="e">
        <f>IF(K207="nio",0,IF(K207&gt;0,VLOOKUP(G207,'3-Productie normen'!A:L,VLOOKUP(K207,'3-Productie normen'!$B$30:$C$36,2,FALSE),FALSE)))/VLOOKUP(B207,'2-Kosten per locatie'!$A$14:$C$26,3,FALSE)</f>
        <v>#DIV/0!</v>
      </c>
      <c r="N207" s="298" t="s">
        <v>67</v>
      </c>
      <c r="P207" s="299">
        <f t="shared" si="12"/>
        <v>2400</v>
      </c>
    </row>
    <row r="208" spans="1:17" ht="14.1" customHeight="1">
      <c r="A208" s="35">
        <f t="shared" si="13"/>
        <v>208</v>
      </c>
      <c r="B208" s="249" t="s">
        <v>399</v>
      </c>
      <c r="C208" s="293"/>
      <c r="D208" s="433">
        <v>1</v>
      </c>
      <c r="E208" s="294"/>
      <c r="F208" s="250" t="s">
        <v>406</v>
      </c>
      <c r="G208" s="237" t="s">
        <v>60</v>
      </c>
      <c r="H208" s="237" t="s">
        <v>383</v>
      </c>
      <c r="I208" s="252">
        <v>48.724499999999992</v>
      </c>
      <c r="J208" s="295">
        <f t="shared" si="14"/>
        <v>200</v>
      </c>
      <c r="K208" s="296">
        <v>200</v>
      </c>
      <c r="L208" s="212" t="e">
        <f t="shared" si="15"/>
        <v>#DIV/0!</v>
      </c>
      <c r="M208" s="297" t="e">
        <f>IF(K208="nio",0,IF(K208&gt;0,VLOOKUP(G208,'3-Productie normen'!A:L,VLOOKUP(K208,'3-Productie normen'!$B$30:$C$36,2,FALSE),FALSE)))/VLOOKUP(B208,'2-Kosten per locatie'!$A$14:$C$26,3,FALSE)</f>
        <v>#DIV/0!</v>
      </c>
      <c r="N208" s="298" t="s">
        <v>60</v>
      </c>
      <c r="P208" s="299">
        <f t="shared" si="12"/>
        <v>9744.8999999999978</v>
      </c>
    </row>
    <row r="209" spans="1:16" ht="14.1" customHeight="1">
      <c r="A209" s="35">
        <f t="shared" si="13"/>
        <v>209</v>
      </c>
      <c r="B209" s="249" t="s">
        <v>399</v>
      </c>
      <c r="C209" s="293"/>
      <c r="D209" s="433">
        <v>1</v>
      </c>
      <c r="E209" s="294"/>
      <c r="F209" s="250" t="s">
        <v>407</v>
      </c>
      <c r="G209" s="237" t="s">
        <v>65</v>
      </c>
      <c r="H209" s="237" t="s">
        <v>433</v>
      </c>
      <c r="I209" s="252">
        <v>183.67499999999998</v>
      </c>
      <c r="J209" s="295">
        <f t="shared" si="14"/>
        <v>200</v>
      </c>
      <c r="K209" s="296">
        <v>200</v>
      </c>
      <c r="L209" s="212" t="e">
        <f t="shared" si="15"/>
        <v>#DIV/0!</v>
      </c>
      <c r="M209" s="297" t="e">
        <f>IF(K209="nio",0,IF(K209&gt;0,VLOOKUP(G209,'3-Productie normen'!A:L,VLOOKUP(K209,'3-Productie normen'!$B$30:$C$36,2,FALSE),FALSE)))/VLOOKUP(B209,'2-Kosten per locatie'!$A$14:$C$26,3,FALSE)</f>
        <v>#DIV/0!</v>
      </c>
      <c r="N209" s="298" t="s">
        <v>65</v>
      </c>
      <c r="P209" s="299">
        <f t="shared" si="12"/>
        <v>36735</v>
      </c>
    </row>
    <row r="210" spans="1:16" ht="14.1" customHeight="1">
      <c r="A210" s="35">
        <f t="shared" si="13"/>
        <v>210</v>
      </c>
      <c r="B210" s="249" t="s">
        <v>399</v>
      </c>
      <c r="C210" s="293"/>
      <c r="D210" s="433">
        <v>1</v>
      </c>
      <c r="E210" s="294"/>
      <c r="F210" s="250" t="s">
        <v>119</v>
      </c>
      <c r="G210" s="237" t="s">
        <v>67</v>
      </c>
      <c r="H210" s="237" t="s">
        <v>397</v>
      </c>
      <c r="I210" s="252">
        <v>9.01</v>
      </c>
      <c r="J210" s="295">
        <f t="shared" si="14"/>
        <v>200</v>
      </c>
      <c r="K210" s="296">
        <v>200</v>
      </c>
      <c r="L210" s="212" t="e">
        <f t="shared" si="15"/>
        <v>#DIV/0!</v>
      </c>
      <c r="M210" s="297" t="e">
        <f>IF(K210="nio",0,IF(K210&gt;0,VLOOKUP(G210,'3-Productie normen'!A:L,VLOOKUP(K210,'3-Productie normen'!$B$30:$C$36,2,FALSE),FALSE)))/VLOOKUP(B210,'2-Kosten per locatie'!$A$14:$C$26,3,FALSE)</f>
        <v>#DIV/0!</v>
      </c>
      <c r="N210" s="298" t="s">
        <v>67</v>
      </c>
      <c r="P210" s="299">
        <f t="shared" si="12"/>
        <v>1802</v>
      </c>
    </row>
    <row r="211" spans="1:16" ht="14.1" customHeight="1">
      <c r="A211" s="35">
        <f t="shared" si="13"/>
        <v>211</v>
      </c>
      <c r="B211" s="249" t="s">
        <v>399</v>
      </c>
      <c r="C211" s="293"/>
      <c r="D211" s="433">
        <v>1</v>
      </c>
      <c r="E211" s="294"/>
      <c r="F211" s="250" t="s">
        <v>435</v>
      </c>
      <c r="G211" s="237" t="s">
        <v>63</v>
      </c>
      <c r="H211" s="237" t="s">
        <v>383</v>
      </c>
      <c r="I211" s="252">
        <v>26.104999999999997</v>
      </c>
      <c r="J211" s="295">
        <f t="shared" si="14"/>
        <v>200</v>
      </c>
      <c r="K211" s="296">
        <v>200</v>
      </c>
      <c r="L211" s="212" t="e">
        <f t="shared" si="15"/>
        <v>#DIV/0!</v>
      </c>
      <c r="M211" s="297" t="e">
        <f>IF(K211="nio",0,IF(K211&gt;0,VLOOKUP(G211,'3-Productie normen'!A:L,VLOOKUP(K211,'3-Productie normen'!$B$30:$C$36,2,FALSE),FALSE)))/VLOOKUP(B211,'2-Kosten per locatie'!$A$14:$C$26,3,FALSE)</f>
        <v>#DIV/0!</v>
      </c>
      <c r="N211" s="298" t="s">
        <v>63</v>
      </c>
      <c r="P211" s="299">
        <f t="shared" si="12"/>
        <v>5220.9999999999991</v>
      </c>
    </row>
    <row r="212" spans="1:16" ht="14.1" customHeight="1">
      <c r="A212" s="35">
        <f t="shared" si="13"/>
        <v>212</v>
      </c>
      <c r="B212" s="249" t="s">
        <v>399</v>
      </c>
      <c r="C212" s="293"/>
      <c r="D212" s="433">
        <v>1</v>
      </c>
      <c r="E212" s="294"/>
      <c r="F212" s="250" t="s">
        <v>188</v>
      </c>
      <c r="G212" s="237" t="s">
        <v>386</v>
      </c>
      <c r="H212" s="237" t="s">
        <v>383</v>
      </c>
      <c r="I212" s="252">
        <v>147.46</v>
      </c>
      <c r="J212" s="295">
        <f t="shared" si="14"/>
        <v>200</v>
      </c>
      <c r="K212" s="296">
        <v>200</v>
      </c>
      <c r="L212" s="212" t="e">
        <f t="shared" si="15"/>
        <v>#DIV/0!</v>
      </c>
      <c r="M212" s="297" t="e">
        <f>IF(K212="nio",0,IF(K212&gt;0,VLOOKUP(G212,'3-Productie normen'!A:L,VLOOKUP(K212,'3-Productie normen'!$B$30:$C$36,2,FALSE),FALSE)))/VLOOKUP(B212,'2-Kosten per locatie'!$A$14:$C$26,3,FALSE)</f>
        <v>#DIV/0!</v>
      </c>
      <c r="N212" s="298" t="s">
        <v>60</v>
      </c>
      <c r="P212" s="299">
        <f t="shared" si="12"/>
        <v>29492</v>
      </c>
    </row>
    <row r="213" spans="1:16" ht="14.1" customHeight="1">
      <c r="A213" s="35">
        <f t="shared" si="13"/>
        <v>213</v>
      </c>
      <c r="B213" s="249" t="s">
        <v>399</v>
      </c>
      <c r="C213" s="293"/>
      <c r="D213" s="433">
        <v>1</v>
      </c>
      <c r="E213" s="294"/>
      <c r="F213" s="250" t="s">
        <v>408</v>
      </c>
      <c r="G213" s="237" t="s">
        <v>58</v>
      </c>
      <c r="H213" s="237" t="s">
        <v>383</v>
      </c>
      <c r="I213" s="252">
        <v>1.5</v>
      </c>
      <c r="J213" s="295">
        <f t="shared" si="14"/>
        <v>200</v>
      </c>
      <c r="K213" s="296">
        <v>200</v>
      </c>
      <c r="L213" s="212" t="e">
        <f t="shared" si="15"/>
        <v>#DIV/0!</v>
      </c>
      <c r="M213" s="297" t="e">
        <f>IF(K213="nio",0,IF(K213&gt;0,VLOOKUP(G213,'3-Productie normen'!A:L,VLOOKUP(K213,'3-Productie normen'!$B$30:$C$36,2,FALSE),FALSE)))/VLOOKUP(B213,'2-Kosten per locatie'!$A$14:$C$26,3,FALSE)</f>
        <v>#DIV/0!</v>
      </c>
      <c r="N213" s="298" t="s">
        <v>58</v>
      </c>
      <c r="P213" s="299">
        <f t="shared" si="12"/>
        <v>300</v>
      </c>
    </row>
    <row r="214" spans="1:16" ht="14.1" customHeight="1">
      <c r="A214" s="35">
        <f t="shared" si="13"/>
        <v>214</v>
      </c>
      <c r="B214" s="249" t="s">
        <v>399</v>
      </c>
      <c r="C214" s="293"/>
      <c r="D214" s="433" t="s">
        <v>95</v>
      </c>
      <c r="E214" s="294"/>
      <c r="F214" s="250" t="s">
        <v>409</v>
      </c>
      <c r="G214" s="237" t="s">
        <v>66</v>
      </c>
      <c r="H214" s="237" t="s">
        <v>432</v>
      </c>
      <c r="I214" s="252">
        <v>5</v>
      </c>
      <c r="J214" s="295">
        <f t="shared" si="14"/>
        <v>200</v>
      </c>
      <c r="K214" s="296">
        <v>200</v>
      </c>
      <c r="L214" s="212" t="e">
        <f t="shared" si="15"/>
        <v>#DIV/0!</v>
      </c>
      <c r="M214" s="297" t="e">
        <f>IF(K214="nio",0,IF(K214&gt;0,VLOOKUP(G214,'3-Productie normen'!A:L,VLOOKUP(K214,'3-Productie normen'!$B$30:$C$36,2,FALSE),FALSE)))/VLOOKUP(B214,'2-Kosten per locatie'!$A$14:$C$26,3,FALSE)</f>
        <v>#DIV/0!</v>
      </c>
      <c r="N214" s="298" t="s">
        <v>60</v>
      </c>
      <c r="P214" s="299">
        <f t="shared" si="12"/>
        <v>1000</v>
      </c>
    </row>
    <row r="215" spans="1:16" ht="14.1" customHeight="1">
      <c r="A215" s="35">
        <f t="shared" si="13"/>
        <v>215</v>
      </c>
      <c r="B215" s="249" t="s">
        <v>399</v>
      </c>
      <c r="C215" s="293"/>
      <c r="D215" s="433" t="s">
        <v>95</v>
      </c>
      <c r="E215" s="294"/>
      <c r="F215" s="250" t="s">
        <v>410</v>
      </c>
      <c r="G215" s="237" t="s">
        <v>60</v>
      </c>
      <c r="H215" s="237" t="s">
        <v>397</v>
      </c>
      <c r="I215" s="252">
        <v>104.91400000000002</v>
      </c>
      <c r="J215" s="295">
        <f t="shared" si="14"/>
        <v>200</v>
      </c>
      <c r="K215" s="296">
        <v>200</v>
      </c>
      <c r="L215" s="212" t="e">
        <f t="shared" si="15"/>
        <v>#DIV/0!</v>
      </c>
      <c r="M215" s="297" t="e">
        <f>IF(K215="nio",0,IF(K215&gt;0,VLOOKUP(G215,'3-Productie normen'!A:L,VLOOKUP(K215,'3-Productie normen'!$B$30:$C$36,2,FALSE),FALSE)))/VLOOKUP(B215,'2-Kosten per locatie'!$A$14:$C$26,3,FALSE)</f>
        <v>#DIV/0!</v>
      </c>
      <c r="N215" s="298" t="s">
        <v>60</v>
      </c>
      <c r="P215" s="299">
        <f t="shared" si="12"/>
        <v>20982.800000000003</v>
      </c>
    </row>
    <row r="216" spans="1:16" ht="14.1" customHeight="1">
      <c r="A216" s="35">
        <f t="shared" si="13"/>
        <v>216</v>
      </c>
      <c r="B216" s="249" t="s">
        <v>399</v>
      </c>
      <c r="C216" s="293"/>
      <c r="D216" s="433" t="s">
        <v>95</v>
      </c>
      <c r="E216" s="294"/>
      <c r="F216" s="250" t="s">
        <v>411</v>
      </c>
      <c r="G216" s="237" t="s">
        <v>62</v>
      </c>
      <c r="H216" s="237" t="s">
        <v>397</v>
      </c>
      <c r="I216" s="252">
        <v>5.52</v>
      </c>
      <c r="J216" s="295">
        <f t="shared" si="14"/>
        <v>200</v>
      </c>
      <c r="K216" s="296">
        <v>200</v>
      </c>
      <c r="L216" s="212" t="e">
        <f t="shared" si="15"/>
        <v>#DIV/0!</v>
      </c>
      <c r="M216" s="297" t="e">
        <f>IF(K216="nio",0,IF(K216&gt;0,VLOOKUP(G216,'3-Productie normen'!A:L,VLOOKUP(K216,'3-Productie normen'!$B$30:$C$36,2,FALSE),FALSE)))/VLOOKUP(B216,'2-Kosten per locatie'!$A$14:$C$26,3,FALSE)</f>
        <v>#DIV/0!</v>
      </c>
      <c r="N216" s="298" t="s">
        <v>62</v>
      </c>
      <c r="P216" s="299">
        <f t="shared" si="12"/>
        <v>1104</v>
      </c>
    </row>
    <row r="217" spans="1:16" ht="14.1" customHeight="1">
      <c r="A217" s="35">
        <f t="shared" si="13"/>
        <v>217</v>
      </c>
      <c r="B217" s="249" t="s">
        <v>399</v>
      </c>
      <c r="C217" s="293"/>
      <c r="D217" s="433" t="s">
        <v>95</v>
      </c>
      <c r="E217" s="294"/>
      <c r="F217" s="250" t="s">
        <v>412</v>
      </c>
      <c r="G217" s="237" t="s">
        <v>69</v>
      </c>
      <c r="H217" s="237" t="s">
        <v>397</v>
      </c>
      <c r="I217" s="252">
        <v>3.1212</v>
      </c>
      <c r="J217" s="295">
        <f t="shared" si="14"/>
        <v>200</v>
      </c>
      <c r="K217" s="296">
        <v>200</v>
      </c>
      <c r="L217" s="212" t="e">
        <f t="shared" si="15"/>
        <v>#DIV/0!</v>
      </c>
      <c r="M217" s="297" t="e">
        <f>IF(K217="nio",0,IF(K217&gt;0,VLOOKUP(G217,'3-Productie normen'!A:L,VLOOKUP(K217,'3-Productie normen'!$B$30:$C$36,2,FALSE),FALSE)))/VLOOKUP(B217,'2-Kosten per locatie'!$A$14:$C$26,3,FALSE)</f>
        <v>#DIV/0!</v>
      </c>
      <c r="N217" s="298" t="s">
        <v>69</v>
      </c>
      <c r="P217" s="299">
        <f t="shared" si="12"/>
        <v>624.24</v>
      </c>
    </row>
    <row r="218" spans="1:16" ht="14.1" customHeight="1">
      <c r="A218" s="35">
        <f t="shared" si="13"/>
        <v>218</v>
      </c>
      <c r="B218" s="249" t="s">
        <v>399</v>
      </c>
      <c r="C218" s="293"/>
      <c r="D218" s="433" t="s">
        <v>95</v>
      </c>
      <c r="E218" s="294"/>
      <c r="F218" s="250" t="s">
        <v>96</v>
      </c>
      <c r="G218" s="237" t="s">
        <v>70</v>
      </c>
      <c r="H218" s="237" t="s">
        <v>397</v>
      </c>
      <c r="I218" s="252">
        <v>3.42</v>
      </c>
      <c r="J218" s="295">
        <f t="shared" si="14"/>
        <v>0</v>
      </c>
      <c r="K218" s="296" t="s">
        <v>385</v>
      </c>
      <c r="L218" s="212">
        <f t="shared" si="15"/>
        <v>0</v>
      </c>
      <c r="M218" s="297" t="e">
        <f>IF(K218="nio",0,IF(K218&gt;0,VLOOKUP(G218,'3-Productie normen'!A:L,VLOOKUP(K218,'3-Productie normen'!$B$30:$C$36,2,FALSE),FALSE)))/VLOOKUP(B218,'2-Kosten per locatie'!$A$14:$C$26,3,FALSE)</f>
        <v>#DIV/0!</v>
      </c>
      <c r="N218" s="298" t="s">
        <v>64</v>
      </c>
      <c r="P218" s="299">
        <f t="shared" si="12"/>
        <v>0</v>
      </c>
    </row>
    <row r="219" spans="1:16" ht="14.1" customHeight="1">
      <c r="A219" s="35">
        <f t="shared" si="13"/>
        <v>219</v>
      </c>
      <c r="B219" s="249" t="s">
        <v>399</v>
      </c>
      <c r="C219" s="293"/>
      <c r="D219" s="433" t="s">
        <v>95</v>
      </c>
      <c r="E219" s="294"/>
      <c r="F219" s="250" t="s">
        <v>413</v>
      </c>
      <c r="G219" s="237" t="s">
        <v>62</v>
      </c>
      <c r="H219" s="237" t="s">
        <v>144</v>
      </c>
      <c r="I219" s="252">
        <v>5.52</v>
      </c>
      <c r="J219" s="295">
        <f t="shared" si="14"/>
        <v>200</v>
      </c>
      <c r="K219" s="296">
        <v>200</v>
      </c>
      <c r="L219" s="212" t="e">
        <f t="shared" si="15"/>
        <v>#DIV/0!</v>
      </c>
      <c r="M219" s="297" t="e">
        <f>IF(K219="nio",0,IF(K219&gt;0,VLOOKUP(G219,'3-Productie normen'!A:L,VLOOKUP(K219,'3-Productie normen'!$B$30:$C$36,2,FALSE),FALSE)))/VLOOKUP(B219,'2-Kosten per locatie'!$A$14:$C$26,3,FALSE)</f>
        <v>#DIV/0!</v>
      </c>
      <c r="N219" s="298" t="s">
        <v>62</v>
      </c>
      <c r="P219" s="299">
        <f t="shared" si="12"/>
        <v>1104</v>
      </c>
    </row>
    <row r="220" spans="1:16" ht="14.1" customHeight="1">
      <c r="A220" s="35">
        <f t="shared" si="13"/>
        <v>220</v>
      </c>
      <c r="B220" s="249" t="s">
        <v>399</v>
      </c>
      <c r="C220" s="293"/>
      <c r="D220" s="433" t="s">
        <v>95</v>
      </c>
      <c r="E220" s="294"/>
      <c r="F220" s="250" t="s">
        <v>414</v>
      </c>
      <c r="G220" s="237" t="s">
        <v>69</v>
      </c>
      <c r="H220" s="237" t="s">
        <v>144</v>
      </c>
      <c r="I220" s="252">
        <v>2.7</v>
      </c>
      <c r="J220" s="295">
        <f t="shared" si="14"/>
        <v>200</v>
      </c>
      <c r="K220" s="296">
        <v>200</v>
      </c>
      <c r="L220" s="212" t="e">
        <f t="shared" si="15"/>
        <v>#DIV/0!</v>
      </c>
      <c r="M220" s="297" t="e">
        <f>IF(K220="nio",0,IF(K220&gt;0,VLOOKUP(G220,'3-Productie normen'!A:L,VLOOKUP(K220,'3-Productie normen'!$B$30:$C$36,2,FALSE),FALSE)))/VLOOKUP(B220,'2-Kosten per locatie'!$A$14:$C$26,3,FALSE)</f>
        <v>#DIV/0!</v>
      </c>
      <c r="N220" s="298" t="s">
        <v>69</v>
      </c>
      <c r="P220" s="299">
        <f t="shared" si="12"/>
        <v>540</v>
      </c>
    </row>
    <row r="221" spans="1:16" ht="14.1" customHeight="1">
      <c r="A221" s="35">
        <f t="shared" si="13"/>
        <v>221</v>
      </c>
      <c r="B221" s="249" t="s">
        <v>399</v>
      </c>
      <c r="C221" s="293"/>
      <c r="D221" s="433" t="s">
        <v>95</v>
      </c>
      <c r="E221" s="294"/>
      <c r="F221" s="250" t="s">
        <v>415</v>
      </c>
      <c r="G221" s="237" t="s">
        <v>62</v>
      </c>
      <c r="H221" s="237" t="s">
        <v>144</v>
      </c>
      <c r="I221" s="252">
        <v>5.1335999999999995</v>
      </c>
      <c r="J221" s="295">
        <f t="shared" si="14"/>
        <v>200</v>
      </c>
      <c r="K221" s="296">
        <v>200</v>
      </c>
      <c r="L221" s="212" t="e">
        <f t="shared" si="15"/>
        <v>#DIV/0!</v>
      </c>
      <c r="M221" s="297" t="e">
        <f>IF(K221="nio",0,IF(K221&gt;0,VLOOKUP(G221,'3-Productie normen'!A:L,VLOOKUP(K221,'3-Productie normen'!$B$30:$C$36,2,FALSE),FALSE)))/VLOOKUP(B221,'2-Kosten per locatie'!$A$14:$C$26,3,FALSE)</f>
        <v>#DIV/0!</v>
      </c>
      <c r="N221" s="298" t="s">
        <v>62</v>
      </c>
      <c r="P221" s="299">
        <f t="shared" si="12"/>
        <v>1026.7199999999998</v>
      </c>
    </row>
    <row r="222" spans="1:16" ht="14.1" customHeight="1">
      <c r="A222" s="35">
        <f t="shared" si="13"/>
        <v>222</v>
      </c>
      <c r="B222" s="249" t="s">
        <v>399</v>
      </c>
      <c r="C222" s="293"/>
      <c r="D222" s="433" t="s">
        <v>95</v>
      </c>
      <c r="E222" s="294"/>
      <c r="F222" s="250" t="s">
        <v>416</v>
      </c>
      <c r="G222" s="237" t="s">
        <v>69</v>
      </c>
      <c r="H222" s="237" t="s">
        <v>144</v>
      </c>
      <c r="I222" s="252">
        <v>5.665</v>
      </c>
      <c r="J222" s="295">
        <f t="shared" si="14"/>
        <v>200</v>
      </c>
      <c r="K222" s="296">
        <v>200</v>
      </c>
      <c r="L222" s="212" t="e">
        <f t="shared" si="15"/>
        <v>#DIV/0!</v>
      </c>
      <c r="M222" s="297" t="e">
        <f>IF(K222="nio",0,IF(K222&gt;0,VLOOKUP(G222,'3-Productie normen'!A:L,VLOOKUP(K222,'3-Productie normen'!$B$30:$C$36,2,FALSE),FALSE)))/VLOOKUP(B222,'2-Kosten per locatie'!$A$14:$C$26,3,FALSE)</f>
        <v>#DIV/0!</v>
      </c>
      <c r="N222" s="298" t="s">
        <v>69</v>
      </c>
      <c r="P222" s="299">
        <f t="shared" si="12"/>
        <v>1133</v>
      </c>
    </row>
    <row r="223" spans="1:16" ht="14.1" customHeight="1">
      <c r="A223" s="35">
        <f t="shared" si="13"/>
        <v>223</v>
      </c>
      <c r="B223" s="249" t="s">
        <v>399</v>
      </c>
      <c r="C223" s="293"/>
      <c r="D223" s="433" t="s">
        <v>95</v>
      </c>
      <c r="E223" s="294"/>
      <c r="F223" s="250" t="s">
        <v>417</v>
      </c>
      <c r="G223" s="237" t="s">
        <v>62</v>
      </c>
      <c r="H223" s="237" t="s">
        <v>144</v>
      </c>
      <c r="I223" s="252">
        <v>22.32</v>
      </c>
      <c r="J223" s="295">
        <f t="shared" si="14"/>
        <v>200</v>
      </c>
      <c r="K223" s="296">
        <v>200</v>
      </c>
      <c r="L223" s="212" t="e">
        <f t="shared" si="15"/>
        <v>#DIV/0!</v>
      </c>
      <c r="M223" s="297" t="e">
        <f>IF(K223="nio",0,IF(K223&gt;0,VLOOKUP(G223,'3-Productie normen'!A:L,VLOOKUP(K223,'3-Productie normen'!$B$30:$C$36,2,FALSE),FALSE)))/VLOOKUP(B223,'2-Kosten per locatie'!$A$14:$C$26,3,FALSE)</f>
        <v>#DIV/0!</v>
      </c>
      <c r="N223" s="298" t="s">
        <v>62</v>
      </c>
      <c r="P223" s="299">
        <f t="shared" si="12"/>
        <v>4464</v>
      </c>
    </row>
    <row r="224" spans="1:16" ht="14.1" customHeight="1">
      <c r="A224" s="35">
        <f t="shared" si="13"/>
        <v>224</v>
      </c>
      <c r="B224" s="249" t="s">
        <v>399</v>
      </c>
      <c r="C224" s="293"/>
      <c r="D224" s="433" t="s">
        <v>95</v>
      </c>
      <c r="E224" s="294"/>
      <c r="F224" s="250" t="s">
        <v>418</v>
      </c>
      <c r="G224" s="237" t="s">
        <v>69</v>
      </c>
      <c r="H224" s="237" t="s">
        <v>144</v>
      </c>
      <c r="I224" s="252">
        <v>11.004999999999999</v>
      </c>
      <c r="J224" s="295">
        <f t="shared" si="14"/>
        <v>200</v>
      </c>
      <c r="K224" s="296">
        <v>200</v>
      </c>
      <c r="L224" s="212" t="e">
        <f t="shared" si="15"/>
        <v>#DIV/0!</v>
      </c>
      <c r="M224" s="297" t="e">
        <f>IF(K224="nio",0,IF(K224&gt;0,VLOOKUP(G224,'3-Productie normen'!A:L,VLOOKUP(K224,'3-Productie normen'!$B$30:$C$36,2,FALSE),FALSE)))/VLOOKUP(B224,'2-Kosten per locatie'!$A$14:$C$26,3,FALSE)</f>
        <v>#DIV/0!</v>
      </c>
      <c r="N224" s="298" t="s">
        <v>69</v>
      </c>
      <c r="P224" s="299">
        <f t="shared" si="12"/>
        <v>2201</v>
      </c>
    </row>
    <row r="225" spans="1:16" ht="14.1" customHeight="1">
      <c r="A225" s="35">
        <f t="shared" si="13"/>
        <v>225</v>
      </c>
      <c r="B225" s="249" t="s">
        <v>399</v>
      </c>
      <c r="C225" s="293"/>
      <c r="D225" s="433" t="s">
        <v>95</v>
      </c>
      <c r="E225" s="294"/>
      <c r="F225" s="250" t="s">
        <v>419</v>
      </c>
      <c r="G225" s="237" t="s">
        <v>62</v>
      </c>
      <c r="H225" s="237" t="s">
        <v>144</v>
      </c>
      <c r="I225" s="252">
        <v>22.32</v>
      </c>
      <c r="J225" s="295">
        <f t="shared" si="14"/>
        <v>200</v>
      </c>
      <c r="K225" s="296">
        <v>200</v>
      </c>
      <c r="L225" s="212" t="e">
        <f t="shared" si="15"/>
        <v>#DIV/0!</v>
      </c>
      <c r="M225" s="297" t="e">
        <f>IF(K225="nio",0,IF(K225&gt;0,VLOOKUP(G225,'3-Productie normen'!A:L,VLOOKUP(K225,'3-Productie normen'!$B$30:$C$36,2,FALSE),FALSE)))/VLOOKUP(B225,'2-Kosten per locatie'!$A$14:$C$26,3,FALSE)</f>
        <v>#DIV/0!</v>
      </c>
      <c r="N225" s="298" t="s">
        <v>62</v>
      </c>
      <c r="P225" s="299">
        <f t="shared" si="12"/>
        <v>4464</v>
      </c>
    </row>
    <row r="226" spans="1:16" ht="14.1" customHeight="1">
      <c r="A226" s="35">
        <f t="shared" si="13"/>
        <v>226</v>
      </c>
      <c r="B226" s="249" t="s">
        <v>399</v>
      </c>
      <c r="C226" s="293"/>
      <c r="D226" s="433" t="s">
        <v>95</v>
      </c>
      <c r="E226" s="294"/>
      <c r="F226" s="250" t="s">
        <v>420</v>
      </c>
      <c r="G226" s="237" t="s">
        <v>69</v>
      </c>
      <c r="H226" s="237" t="s">
        <v>144</v>
      </c>
      <c r="I226" s="252">
        <v>11.004999999999999</v>
      </c>
      <c r="J226" s="295">
        <f t="shared" si="14"/>
        <v>200</v>
      </c>
      <c r="K226" s="296">
        <v>200</v>
      </c>
      <c r="L226" s="212" t="e">
        <f t="shared" si="15"/>
        <v>#DIV/0!</v>
      </c>
      <c r="M226" s="297" t="e">
        <f>IF(K226="nio",0,IF(K226&gt;0,VLOOKUP(G226,'3-Productie normen'!A:L,VLOOKUP(K226,'3-Productie normen'!$B$30:$C$36,2,FALSE),FALSE)))/VLOOKUP(B226,'2-Kosten per locatie'!$A$14:$C$26,3,FALSE)</f>
        <v>#DIV/0!</v>
      </c>
      <c r="N226" s="298" t="s">
        <v>69</v>
      </c>
      <c r="P226" s="299">
        <f t="shared" si="12"/>
        <v>2201</v>
      </c>
    </row>
    <row r="227" spans="1:16" ht="14.1" customHeight="1">
      <c r="A227" s="35">
        <f t="shared" si="13"/>
        <v>227</v>
      </c>
      <c r="B227" s="249" t="s">
        <v>399</v>
      </c>
      <c r="C227" s="293"/>
      <c r="D227" s="433" t="s">
        <v>95</v>
      </c>
      <c r="E227" s="294"/>
      <c r="F227" s="250" t="s">
        <v>421</v>
      </c>
      <c r="G227" s="237" t="s">
        <v>62</v>
      </c>
      <c r="H227" s="237" t="s">
        <v>144</v>
      </c>
      <c r="I227" s="252">
        <v>22.32</v>
      </c>
      <c r="J227" s="295">
        <f t="shared" si="14"/>
        <v>200</v>
      </c>
      <c r="K227" s="296">
        <v>200</v>
      </c>
      <c r="L227" s="212" t="e">
        <f t="shared" si="15"/>
        <v>#DIV/0!</v>
      </c>
      <c r="M227" s="297" t="e">
        <f>IF(K227="nio",0,IF(K227&gt;0,VLOOKUP(G227,'3-Productie normen'!A:L,VLOOKUP(K227,'3-Productie normen'!$B$30:$C$36,2,FALSE),FALSE)))/VLOOKUP(B227,'2-Kosten per locatie'!$A$14:$C$26,3,FALSE)</f>
        <v>#DIV/0!</v>
      </c>
      <c r="N227" s="298" t="s">
        <v>62</v>
      </c>
      <c r="P227" s="299">
        <f t="shared" si="12"/>
        <v>4464</v>
      </c>
    </row>
    <row r="228" spans="1:16" ht="14.1" customHeight="1">
      <c r="A228" s="35">
        <f t="shared" si="13"/>
        <v>228</v>
      </c>
      <c r="B228" s="249" t="s">
        <v>399</v>
      </c>
      <c r="C228" s="293"/>
      <c r="D228" s="433" t="s">
        <v>95</v>
      </c>
      <c r="E228" s="294"/>
      <c r="F228" s="250" t="s">
        <v>422</v>
      </c>
      <c r="G228" s="237" t="s">
        <v>69</v>
      </c>
      <c r="H228" s="237" t="s">
        <v>144</v>
      </c>
      <c r="I228" s="252">
        <v>11.004999999999999</v>
      </c>
      <c r="J228" s="295">
        <f t="shared" si="14"/>
        <v>200</v>
      </c>
      <c r="K228" s="296">
        <v>200</v>
      </c>
      <c r="L228" s="212" t="e">
        <f t="shared" si="15"/>
        <v>#DIV/0!</v>
      </c>
      <c r="M228" s="297" t="e">
        <f>IF(K228="nio",0,IF(K228&gt;0,VLOOKUP(G228,'3-Productie normen'!A:L,VLOOKUP(K228,'3-Productie normen'!$B$30:$C$36,2,FALSE),FALSE)))/VLOOKUP(B228,'2-Kosten per locatie'!$A$14:$C$26,3,FALSE)</f>
        <v>#DIV/0!</v>
      </c>
      <c r="N228" s="298" t="s">
        <v>69</v>
      </c>
      <c r="P228" s="299">
        <f t="shared" si="12"/>
        <v>2201</v>
      </c>
    </row>
    <row r="229" spans="1:16" ht="14.1" customHeight="1">
      <c r="A229" s="35">
        <f t="shared" si="13"/>
        <v>229</v>
      </c>
      <c r="B229" s="249" t="s">
        <v>399</v>
      </c>
      <c r="C229" s="293"/>
      <c r="D229" s="433" t="s">
        <v>95</v>
      </c>
      <c r="E229" s="294"/>
      <c r="F229" s="250" t="s">
        <v>423</v>
      </c>
      <c r="G229" s="237" t="s">
        <v>62</v>
      </c>
      <c r="H229" s="237" t="s">
        <v>144</v>
      </c>
      <c r="I229" s="252">
        <v>22.32</v>
      </c>
      <c r="J229" s="295">
        <f t="shared" si="14"/>
        <v>200</v>
      </c>
      <c r="K229" s="296">
        <v>200</v>
      </c>
      <c r="L229" s="212" t="e">
        <f t="shared" si="15"/>
        <v>#DIV/0!</v>
      </c>
      <c r="M229" s="297" t="e">
        <f>IF(K229="nio",0,IF(K229&gt;0,VLOOKUP(G229,'3-Productie normen'!A:L,VLOOKUP(K229,'3-Productie normen'!$B$30:$C$36,2,FALSE),FALSE)))/VLOOKUP(B229,'2-Kosten per locatie'!$A$14:$C$26,3,FALSE)</f>
        <v>#DIV/0!</v>
      </c>
      <c r="N229" s="298" t="s">
        <v>62</v>
      </c>
      <c r="P229" s="299">
        <f t="shared" si="12"/>
        <v>4464</v>
      </c>
    </row>
    <row r="230" spans="1:16" ht="14.1" customHeight="1">
      <c r="A230" s="35">
        <f t="shared" si="13"/>
        <v>230</v>
      </c>
      <c r="B230" s="249" t="s">
        <v>399</v>
      </c>
      <c r="C230" s="293"/>
      <c r="D230" s="433" t="s">
        <v>95</v>
      </c>
      <c r="E230" s="294"/>
      <c r="F230" s="250" t="s">
        <v>424</v>
      </c>
      <c r="G230" s="237" t="s">
        <v>69</v>
      </c>
      <c r="H230" s="237" t="s">
        <v>144</v>
      </c>
      <c r="I230" s="252">
        <v>11.004999999999999</v>
      </c>
      <c r="J230" s="295">
        <f t="shared" si="14"/>
        <v>200</v>
      </c>
      <c r="K230" s="296">
        <v>200</v>
      </c>
      <c r="L230" s="212" t="e">
        <f t="shared" si="15"/>
        <v>#DIV/0!</v>
      </c>
      <c r="M230" s="297" t="e">
        <f>IF(K230="nio",0,IF(K230&gt;0,VLOOKUP(G230,'3-Productie normen'!A:L,VLOOKUP(K230,'3-Productie normen'!$B$30:$C$36,2,FALSE),FALSE)))/VLOOKUP(B230,'2-Kosten per locatie'!$A$14:$C$26,3,FALSE)</f>
        <v>#DIV/0!</v>
      </c>
      <c r="N230" s="298" t="s">
        <v>69</v>
      </c>
      <c r="P230" s="299">
        <f t="shared" si="12"/>
        <v>2201</v>
      </c>
    </row>
    <row r="231" spans="1:16" ht="14.1" customHeight="1">
      <c r="A231" s="35">
        <f t="shared" si="13"/>
        <v>231</v>
      </c>
      <c r="B231" s="249" t="s">
        <v>399</v>
      </c>
      <c r="C231" s="293"/>
      <c r="D231" s="433" t="s">
        <v>95</v>
      </c>
      <c r="E231" s="294"/>
      <c r="F231" s="250" t="s">
        <v>425</v>
      </c>
      <c r="G231" s="237" t="s">
        <v>62</v>
      </c>
      <c r="H231" s="237" t="s">
        <v>144</v>
      </c>
      <c r="I231" s="252">
        <v>22.11</v>
      </c>
      <c r="J231" s="295">
        <f t="shared" si="14"/>
        <v>200</v>
      </c>
      <c r="K231" s="296">
        <v>200</v>
      </c>
      <c r="L231" s="212" t="e">
        <f t="shared" si="15"/>
        <v>#DIV/0!</v>
      </c>
      <c r="M231" s="297" t="e">
        <f>IF(K231="nio",0,IF(K231&gt;0,VLOOKUP(G231,'3-Productie normen'!A:L,VLOOKUP(K231,'3-Productie normen'!$B$30:$C$36,2,FALSE),FALSE)))/VLOOKUP(B231,'2-Kosten per locatie'!$A$14:$C$26,3,FALSE)</f>
        <v>#DIV/0!</v>
      </c>
      <c r="N231" s="298" t="s">
        <v>62</v>
      </c>
      <c r="P231" s="299">
        <f t="shared" si="12"/>
        <v>4422</v>
      </c>
    </row>
    <row r="232" spans="1:16" ht="14.1" customHeight="1">
      <c r="A232" s="35">
        <f t="shared" si="13"/>
        <v>232</v>
      </c>
      <c r="B232" s="249" t="s">
        <v>399</v>
      </c>
      <c r="C232" s="293"/>
      <c r="D232" s="433" t="s">
        <v>95</v>
      </c>
      <c r="E232" s="294"/>
      <c r="F232" s="250" t="s">
        <v>426</v>
      </c>
      <c r="G232" s="237" t="s">
        <v>69</v>
      </c>
      <c r="H232" s="237" t="s">
        <v>144</v>
      </c>
      <c r="I232" s="252">
        <v>10.004999999999999</v>
      </c>
      <c r="J232" s="295">
        <f t="shared" si="14"/>
        <v>200</v>
      </c>
      <c r="K232" s="296">
        <v>200</v>
      </c>
      <c r="L232" s="212" t="e">
        <f t="shared" si="15"/>
        <v>#DIV/0!</v>
      </c>
      <c r="M232" s="297" t="e">
        <f>IF(K232="nio",0,IF(K232&gt;0,VLOOKUP(G232,'3-Productie normen'!A:L,VLOOKUP(K232,'3-Productie normen'!$B$30:$C$36,2,FALSE),FALSE)))/VLOOKUP(B232,'2-Kosten per locatie'!$A$14:$C$26,3,FALSE)</f>
        <v>#DIV/0!</v>
      </c>
      <c r="N232" s="298" t="s">
        <v>69</v>
      </c>
      <c r="P232" s="299">
        <f t="shared" si="12"/>
        <v>2000.9999999999998</v>
      </c>
    </row>
    <row r="233" spans="1:16" ht="14.1" customHeight="1">
      <c r="A233" s="35">
        <f t="shared" si="13"/>
        <v>233</v>
      </c>
      <c r="B233" s="249" t="s">
        <v>399</v>
      </c>
      <c r="C233" s="293"/>
      <c r="D233" s="433" t="s">
        <v>95</v>
      </c>
      <c r="E233" s="294"/>
      <c r="F233" s="250" t="s">
        <v>427</v>
      </c>
      <c r="G233" s="237" t="s">
        <v>65</v>
      </c>
      <c r="H233" s="237" t="s">
        <v>433</v>
      </c>
      <c r="I233" s="252">
        <v>1536</v>
      </c>
      <c r="J233" s="295">
        <f t="shared" si="14"/>
        <v>200</v>
      </c>
      <c r="K233" s="296">
        <v>200</v>
      </c>
      <c r="L233" s="212" t="e">
        <f t="shared" si="15"/>
        <v>#DIV/0!</v>
      </c>
      <c r="M233" s="297" t="e">
        <f>IF(K233="nio",0,IF(K233&gt;0,VLOOKUP(G233,'3-Productie normen'!A:L,VLOOKUP(K233,'3-Productie normen'!$B$30:$C$36,2,FALSE),FALSE)))/VLOOKUP(B233,'2-Kosten per locatie'!$A$14:$C$26,3,FALSE)</f>
        <v>#DIV/0!</v>
      </c>
      <c r="N233" s="298" t="s">
        <v>65</v>
      </c>
      <c r="P233" s="299">
        <f t="shared" si="12"/>
        <v>307200</v>
      </c>
    </row>
    <row r="234" spans="1:16" ht="14.1" customHeight="1">
      <c r="A234" s="35">
        <f t="shared" si="13"/>
        <v>234</v>
      </c>
      <c r="B234" s="249" t="s">
        <v>399</v>
      </c>
      <c r="C234" s="293"/>
      <c r="D234" s="433" t="s">
        <v>95</v>
      </c>
      <c r="E234" s="294"/>
      <c r="F234" s="250" t="s">
        <v>428</v>
      </c>
      <c r="G234" s="237" t="s">
        <v>58</v>
      </c>
      <c r="H234" s="237" t="s">
        <v>383</v>
      </c>
      <c r="I234" s="252">
        <v>15.729700000000001</v>
      </c>
      <c r="J234" s="295">
        <f t="shared" si="14"/>
        <v>200</v>
      </c>
      <c r="K234" s="296">
        <v>200</v>
      </c>
      <c r="L234" s="212" t="e">
        <f t="shared" si="15"/>
        <v>#DIV/0!</v>
      </c>
      <c r="M234" s="297" t="e">
        <f>IF(K234="nio",0,IF(K234&gt;0,VLOOKUP(G234,'3-Productie normen'!A:L,VLOOKUP(K234,'3-Productie normen'!$B$30:$C$36,2,FALSE),FALSE)))/VLOOKUP(B234,'2-Kosten per locatie'!$A$14:$C$26,3,FALSE)</f>
        <v>#DIV/0!</v>
      </c>
      <c r="N234" s="298" t="s">
        <v>58</v>
      </c>
      <c r="P234" s="299">
        <f t="shared" si="12"/>
        <v>3145.94</v>
      </c>
    </row>
    <row r="235" spans="1:16" ht="14.1" customHeight="1">
      <c r="A235" s="35">
        <f t="shared" si="13"/>
        <v>235</v>
      </c>
      <c r="B235" s="249" t="s">
        <v>399</v>
      </c>
      <c r="C235" s="293"/>
      <c r="D235" s="433" t="s">
        <v>95</v>
      </c>
      <c r="E235" s="294"/>
      <c r="F235" s="250" t="s">
        <v>138</v>
      </c>
      <c r="G235" s="237" t="s">
        <v>59</v>
      </c>
      <c r="H235" s="237" t="s">
        <v>144</v>
      </c>
      <c r="I235" s="252">
        <v>1.3</v>
      </c>
      <c r="J235" s="295">
        <f t="shared" si="14"/>
        <v>200</v>
      </c>
      <c r="K235" s="296">
        <v>200</v>
      </c>
      <c r="L235" s="212" t="e">
        <f t="shared" si="15"/>
        <v>#DIV/0!</v>
      </c>
      <c r="M235" s="297" t="e">
        <f>IF(K235="nio",0,IF(K235&gt;0,VLOOKUP(G235,'3-Productie normen'!A:L,VLOOKUP(K235,'3-Productie normen'!$B$30:$C$36,2,FALSE),FALSE)))/VLOOKUP(B235,'2-Kosten per locatie'!$A$14:$C$26,3,FALSE)</f>
        <v>#DIV/0!</v>
      </c>
      <c r="N235" s="298" t="s">
        <v>59</v>
      </c>
      <c r="P235" s="299">
        <f t="shared" si="12"/>
        <v>260</v>
      </c>
    </row>
    <row r="236" spans="1:16" ht="14.1" customHeight="1">
      <c r="A236" s="35">
        <f t="shared" si="13"/>
        <v>236</v>
      </c>
      <c r="B236" s="249" t="s">
        <v>399</v>
      </c>
      <c r="C236" s="293"/>
      <c r="D236" s="433" t="s">
        <v>95</v>
      </c>
      <c r="E236" s="294"/>
      <c r="F236" s="250" t="s">
        <v>138</v>
      </c>
      <c r="G236" s="237" t="s">
        <v>59</v>
      </c>
      <c r="H236" s="237" t="s">
        <v>144</v>
      </c>
      <c r="I236" s="252">
        <v>1.3</v>
      </c>
      <c r="J236" s="295">
        <f t="shared" si="14"/>
        <v>200</v>
      </c>
      <c r="K236" s="296">
        <v>200</v>
      </c>
      <c r="L236" s="212" t="e">
        <f t="shared" si="15"/>
        <v>#DIV/0!</v>
      </c>
      <c r="M236" s="297" t="e">
        <f>IF(K236="nio",0,IF(K236&gt;0,VLOOKUP(G236,'3-Productie normen'!A:L,VLOOKUP(K236,'3-Productie normen'!$B$30:$C$36,2,FALSE),FALSE)))/VLOOKUP(B236,'2-Kosten per locatie'!$A$14:$C$26,3,FALSE)</f>
        <v>#DIV/0!</v>
      </c>
      <c r="N236" s="298" t="s">
        <v>59</v>
      </c>
      <c r="P236" s="299">
        <f t="shared" si="12"/>
        <v>260</v>
      </c>
    </row>
    <row r="237" spans="1:16" ht="14.1" customHeight="1">
      <c r="A237" s="35">
        <f t="shared" si="13"/>
        <v>237</v>
      </c>
      <c r="B237" s="249" t="s">
        <v>399</v>
      </c>
      <c r="C237" s="293"/>
      <c r="D237" s="433" t="s">
        <v>95</v>
      </c>
      <c r="E237" s="294"/>
      <c r="F237" s="250" t="s">
        <v>138</v>
      </c>
      <c r="G237" s="237" t="s">
        <v>59</v>
      </c>
      <c r="H237" s="237" t="s">
        <v>144</v>
      </c>
      <c r="I237" s="252">
        <v>1.3</v>
      </c>
      <c r="J237" s="295">
        <f t="shared" si="14"/>
        <v>200</v>
      </c>
      <c r="K237" s="296">
        <v>200</v>
      </c>
      <c r="L237" s="212" t="e">
        <f t="shared" si="15"/>
        <v>#DIV/0!</v>
      </c>
      <c r="M237" s="297" t="e">
        <f>IF(K237="nio",0,IF(K237&gt;0,VLOOKUP(G237,'3-Productie normen'!A:L,VLOOKUP(K237,'3-Productie normen'!$B$30:$C$36,2,FALSE),FALSE)))/VLOOKUP(B237,'2-Kosten per locatie'!$A$14:$C$26,3,FALSE)</f>
        <v>#DIV/0!</v>
      </c>
      <c r="N237" s="298" t="s">
        <v>59</v>
      </c>
      <c r="P237" s="299">
        <f t="shared" si="12"/>
        <v>260</v>
      </c>
    </row>
    <row r="238" spans="1:16" ht="14.1" customHeight="1">
      <c r="A238" s="35">
        <f t="shared" si="13"/>
        <v>238</v>
      </c>
      <c r="B238" s="249" t="s">
        <v>399</v>
      </c>
      <c r="C238" s="293"/>
      <c r="D238" s="433" t="s">
        <v>95</v>
      </c>
      <c r="E238" s="294"/>
      <c r="F238" s="250" t="s">
        <v>138</v>
      </c>
      <c r="G238" s="237" t="s">
        <v>59</v>
      </c>
      <c r="H238" s="237" t="s">
        <v>144</v>
      </c>
      <c r="I238" s="252">
        <v>1.3</v>
      </c>
      <c r="J238" s="295">
        <f t="shared" si="14"/>
        <v>200</v>
      </c>
      <c r="K238" s="296">
        <v>200</v>
      </c>
      <c r="L238" s="212" t="e">
        <f t="shared" si="15"/>
        <v>#DIV/0!</v>
      </c>
      <c r="M238" s="297" t="e">
        <f>IF(K238="nio",0,IF(K238&gt;0,VLOOKUP(G238,'3-Productie normen'!A:L,VLOOKUP(K238,'3-Productie normen'!$B$30:$C$36,2,FALSE),FALSE)))/VLOOKUP(B238,'2-Kosten per locatie'!$A$14:$C$26,3,FALSE)</f>
        <v>#DIV/0!</v>
      </c>
      <c r="N238" s="298" t="s">
        <v>59</v>
      </c>
      <c r="P238" s="299">
        <f t="shared" si="12"/>
        <v>260</v>
      </c>
    </row>
    <row r="239" spans="1:16" ht="14.1" customHeight="1">
      <c r="A239" s="35">
        <f t="shared" si="13"/>
        <v>239</v>
      </c>
      <c r="B239" s="249" t="s">
        <v>399</v>
      </c>
      <c r="C239" s="293"/>
      <c r="D239" s="433" t="s">
        <v>95</v>
      </c>
      <c r="E239" s="294"/>
      <c r="F239" s="250" t="s">
        <v>138</v>
      </c>
      <c r="G239" s="237" t="s">
        <v>59</v>
      </c>
      <c r="H239" s="237" t="s">
        <v>144</v>
      </c>
      <c r="I239" s="252">
        <v>1.3</v>
      </c>
      <c r="J239" s="295">
        <f t="shared" si="14"/>
        <v>200</v>
      </c>
      <c r="K239" s="296">
        <v>200</v>
      </c>
      <c r="L239" s="212" t="e">
        <f t="shared" si="15"/>
        <v>#DIV/0!</v>
      </c>
      <c r="M239" s="297" t="e">
        <f>IF(K239="nio",0,IF(K239&gt;0,VLOOKUP(G239,'3-Productie normen'!A:L,VLOOKUP(K239,'3-Productie normen'!$B$30:$C$36,2,FALSE),FALSE)))/VLOOKUP(B239,'2-Kosten per locatie'!$A$14:$C$26,3,FALSE)</f>
        <v>#DIV/0!</v>
      </c>
      <c r="N239" s="298" t="s">
        <v>59</v>
      </c>
      <c r="P239" s="299">
        <f t="shared" si="12"/>
        <v>260</v>
      </c>
    </row>
    <row r="240" spans="1:16" ht="14.1" customHeight="1">
      <c r="A240" s="35">
        <f t="shared" si="13"/>
        <v>240</v>
      </c>
      <c r="B240" s="249" t="s">
        <v>399</v>
      </c>
      <c r="C240" s="293"/>
      <c r="D240" s="433" t="s">
        <v>95</v>
      </c>
      <c r="E240" s="294"/>
      <c r="F240" s="250" t="s">
        <v>138</v>
      </c>
      <c r="G240" s="237" t="s">
        <v>59</v>
      </c>
      <c r="H240" s="237" t="s">
        <v>144</v>
      </c>
      <c r="I240" s="252">
        <v>1.3</v>
      </c>
      <c r="J240" s="295">
        <f t="shared" si="14"/>
        <v>200</v>
      </c>
      <c r="K240" s="296">
        <v>200</v>
      </c>
      <c r="L240" s="212" t="e">
        <f t="shared" si="15"/>
        <v>#DIV/0!</v>
      </c>
      <c r="M240" s="297" t="e">
        <f>IF(K240="nio",0,IF(K240&gt;0,VLOOKUP(G240,'3-Productie normen'!A:L,VLOOKUP(K240,'3-Productie normen'!$B$30:$C$36,2,FALSE),FALSE)))/VLOOKUP(B240,'2-Kosten per locatie'!$A$14:$C$26,3,FALSE)</f>
        <v>#DIV/0!</v>
      </c>
      <c r="N240" s="298" t="s">
        <v>59</v>
      </c>
      <c r="P240" s="299">
        <f t="shared" si="12"/>
        <v>260</v>
      </c>
    </row>
    <row r="241" spans="1:16" ht="14.1" customHeight="1">
      <c r="A241" s="35">
        <f t="shared" si="13"/>
        <v>241</v>
      </c>
      <c r="B241" s="249" t="s">
        <v>399</v>
      </c>
      <c r="C241" s="293"/>
      <c r="D241" s="433" t="s">
        <v>95</v>
      </c>
      <c r="E241" s="294"/>
      <c r="F241" s="250" t="s">
        <v>429</v>
      </c>
      <c r="G241" s="237" t="s">
        <v>60</v>
      </c>
      <c r="H241" s="237" t="s">
        <v>397</v>
      </c>
      <c r="I241" s="252">
        <v>13.331999999999999</v>
      </c>
      <c r="J241" s="295">
        <f t="shared" si="14"/>
        <v>200</v>
      </c>
      <c r="K241" s="296">
        <v>200</v>
      </c>
      <c r="L241" s="212" t="e">
        <f t="shared" si="15"/>
        <v>#DIV/0!</v>
      </c>
      <c r="M241" s="297" t="e">
        <f>IF(K241="nio",0,IF(K241&gt;0,VLOOKUP(G241,'3-Productie normen'!A:L,VLOOKUP(K241,'3-Productie normen'!$B$30:$C$36,2,FALSE),FALSE)))/VLOOKUP(B241,'2-Kosten per locatie'!$A$14:$C$26,3,FALSE)</f>
        <v>#DIV/0!</v>
      </c>
      <c r="N241" s="298" t="s">
        <v>60</v>
      </c>
      <c r="P241" s="299">
        <f t="shared" si="12"/>
        <v>2666.3999999999996</v>
      </c>
    </row>
    <row r="242" spans="1:16" ht="14.1" customHeight="1">
      <c r="A242" s="35">
        <f t="shared" si="13"/>
        <v>242</v>
      </c>
      <c r="B242" s="249" t="s">
        <v>399</v>
      </c>
      <c r="C242" s="293"/>
      <c r="D242" s="433" t="s">
        <v>95</v>
      </c>
      <c r="E242" s="294"/>
      <c r="F242" s="250" t="s">
        <v>430</v>
      </c>
      <c r="G242" s="237" t="s">
        <v>61</v>
      </c>
      <c r="H242" s="237" t="s">
        <v>383</v>
      </c>
      <c r="I242" s="252">
        <v>14.671799999999999</v>
      </c>
      <c r="J242" s="295">
        <f t="shared" si="14"/>
        <v>200</v>
      </c>
      <c r="K242" s="296">
        <v>200</v>
      </c>
      <c r="L242" s="212" t="e">
        <f t="shared" si="15"/>
        <v>#DIV/0!</v>
      </c>
      <c r="M242" s="297" t="e">
        <f>IF(K242="nio",0,IF(K242&gt;0,VLOOKUP(G242,'3-Productie normen'!A:L,VLOOKUP(K242,'3-Productie normen'!$B$30:$C$36,2,FALSE),FALSE)))/VLOOKUP(B242,'2-Kosten per locatie'!$A$14:$C$26,3,FALSE)</f>
        <v>#DIV/0!</v>
      </c>
      <c r="N242" s="298" t="s">
        <v>61</v>
      </c>
      <c r="P242" s="299">
        <f t="shared" si="12"/>
        <v>2934.3599999999997</v>
      </c>
    </row>
    <row r="243" spans="1:16" ht="14.1" customHeight="1">
      <c r="B243" s="49"/>
      <c r="C243" s="49"/>
      <c r="D243" s="50"/>
      <c r="E243" s="51"/>
      <c r="F243" s="52"/>
      <c r="G243" s="52"/>
      <c r="I243" s="53"/>
      <c r="J243" s="200"/>
      <c r="K243" s="302"/>
      <c r="L243" s="54"/>
      <c r="M243" s="55"/>
      <c r="N243" s="56"/>
    </row>
    <row r="244" spans="1:16" ht="14.1" customHeight="1">
      <c r="B244" s="49"/>
      <c r="C244" s="49"/>
      <c r="D244" s="50"/>
      <c r="E244" s="51"/>
      <c r="F244" s="52"/>
      <c r="G244" s="52"/>
      <c r="I244" s="53"/>
      <c r="J244" s="200"/>
      <c r="K244" s="302"/>
      <c r="L244" s="54"/>
      <c r="M244" s="55"/>
      <c r="N244" s="56"/>
    </row>
    <row r="245" spans="1:16" ht="14.1" customHeight="1">
      <c r="B245" s="49"/>
      <c r="C245" s="49"/>
      <c r="D245" s="50"/>
      <c r="E245" s="51"/>
      <c r="F245" s="52"/>
      <c r="G245" s="52"/>
      <c r="I245" s="53"/>
      <c r="J245" s="200"/>
      <c r="K245" s="302"/>
      <c r="L245" s="54"/>
      <c r="M245" s="55"/>
      <c r="N245" s="56"/>
    </row>
    <row r="246" spans="1:16" ht="14.1" customHeight="1">
      <c r="B246" s="49"/>
      <c r="C246" s="49"/>
      <c r="D246" s="50"/>
      <c r="E246" s="51"/>
      <c r="F246" s="52"/>
      <c r="G246" s="52"/>
      <c r="I246" s="53"/>
      <c r="J246" s="200"/>
      <c r="K246" s="302"/>
      <c r="L246" s="54"/>
      <c r="M246" s="55"/>
      <c r="N246" s="56"/>
    </row>
    <row r="247" spans="1:16" ht="14.1" customHeight="1">
      <c r="B247" s="49"/>
      <c r="C247" s="49"/>
      <c r="D247" s="50"/>
      <c r="E247" s="51"/>
      <c r="F247" s="52"/>
      <c r="G247" s="52"/>
      <c r="I247" s="53"/>
      <c r="J247" s="200"/>
      <c r="K247" s="302"/>
      <c r="L247" s="54"/>
      <c r="M247" s="55"/>
      <c r="N247" s="56"/>
    </row>
    <row r="248" spans="1:16" ht="14.1" customHeight="1">
      <c r="B248" s="49"/>
      <c r="C248" s="49"/>
      <c r="D248" s="50"/>
      <c r="E248" s="51"/>
      <c r="F248" s="52"/>
      <c r="G248" s="52"/>
      <c r="I248" s="53"/>
      <c r="J248" s="200"/>
      <c r="K248" s="302"/>
      <c r="L248" s="54"/>
      <c r="M248" s="55"/>
      <c r="N248" s="56"/>
    </row>
    <row r="249" spans="1:16" ht="14.1" customHeight="1">
      <c r="B249" s="49"/>
      <c r="C249" s="49"/>
      <c r="D249" s="50"/>
      <c r="E249" s="51"/>
      <c r="F249" s="52"/>
      <c r="G249" s="52"/>
      <c r="I249" s="53"/>
      <c r="J249" s="200"/>
      <c r="K249" s="302"/>
      <c r="L249" s="54"/>
      <c r="M249" s="55"/>
      <c r="N249" s="56"/>
    </row>
    <row r="250" spans="1:16" ht="14.1" customHeight="1">
      <c r="B250" s="49"/>
      <c r="C250" s="49"/>
      <c r="D250" s="50"/>
      <c r="E250" s="51"/>
      <c r="F250" s="52"/>
      <c r="G250" s="52"/>
      <c r="I250" s="53"/>
      <c r="J250" s="200"/>
      <c r="K250" s="302"/>
      <c r="L250" s="54"/>
      <c r="M250" s="55"/>
      <c r="N250" s="56"/>
    </row>
    <row r="251" spans="1:16" ht="14.1" customHeight="1">
      <c r="B251" s="49"/>
      <c r="C251" s="49"/>
      <c r="D251" s="50"/>
      <c r="E251" s="51"/>
      <c r="F251" s="52"/>
      <c r="G251" s="52"/>
      <c r="I251" s="53"/>
      <c r="J251" s="200"/>
      <c r="K251" s="302"/>
      <c r="L251" s="54"/>
      <c r="M251" s="55"/>
      <c r="N251" s="56"/>
    </row>
    <row r="252" spans="1:16" ht="14.1" customHeight="1">
      <c r="B252" s="49"/>
      <c r="C252" s="49"/>
      <c r="D252" s="50"/>
      <c r="E252" s="51"/>
      <c r="F252" s="52"/>
      <c r="G252" s="52"/>
      <c r="I252" s="53"/>
      <c r="J252" s="200"/>
      <c r="K252" s="302"/>
      <c r="L252" s="54"/>
      <c r="M252" s="55"/>
      <c r="N252" s="56"/>
    </row>
    <row r="253" spans="1:16" ht="14.1" customHeight="1">
      <c r="B253" s="49"/>
      <c r="C253" s="49"/>
      <c r="D253" s="50"/>
      <c r="E253" s="51"/>
      <c r="F253" s="52"/>
      <c r="G253" s="52"/>
      <c r="I253" s="53"/>
      <c r="J253" s="200"/>
      <c r="K253" s="302"/>
      <c r="L253" s="54"/>
      <c r="M253" s="55"/>
      <c r="N253" s="56"/>
    </row>
    <row r="254" spans="1:16" ht="14.1" customHeight="1">
      <c r="B254" s="49"/>
      <c r="C254" s="49"/>
      <c r="D254" s="50"/>
      <c r="E254" s="51"/>
      <c r="F254" s="52"/>
      <c r="G254" s="52"/>
      <c r="I254" s="53"/>
      <c r="J254" s="200"/>
      <c r="K254" s="302"/>
      <c r="L254" s="54"/>
      <c r="M254" s="55"/>
      <c r="N254" s="56"/>
    </row>
    <row r="255" spans="1:16" ht="14.1" customHeight="1">
      <c r="B255" s="49"/>
      <c r="C255" s="49"/>
      <c r="D255" s="50"/>
      <c r="E255" s="51"/>
      <c r="F255" s="52"/>
      <c r="G255" s="52"/>
      <c r="I255" s="53"/>
      <c r="J255" s="200"/>
      <c r="K255" s="302"/>
      <c r="L255" s="54"/>
      <c r="M255" s="55"/>
      <c r="N255" s="56"/>
    </row>
    <row r="256" spans="1:16" ht="14.1" customHeight="1">
      <c r="B256" s="49"/>
      <c r="C256" s="49"/>
      <c r="D256" s="50"/>
      <c r="E256" s="51"/>
      <c r="F256" s="52"/>
      <c r="G256" s="52"/>
      <c r="I256" s="53"/>
      <c r="J256" s="200"/>
      <c r="K256" s="302"/>
      <c r="L256" s="54"/>
      <c r="M256" s="55"/>
      <c r="N256" s="56"/>
    </row>
    <row r="257" spans="2:14" ht="14.1" customHeight="1">
      <c r="B257" s="49"/>
      <c r="C257" s="49"/>
      <c r="D257" s="50"/>
      <c r="E257" s="51"/>
      <c r="F257" s="52"/>
      <c r="G257" s="52"/>
      <c r="I257" s="53"/>
      <c r="J257" s="200"/>
      <c r="K257" s="302"/>
      <c r="L257" s="54"/>
      <c r="M257" s="55"/>
      <c r="N257" s="56"/>
    </row>
    <row r="258" spans="2:14" ht="14.1" customHeight="1">
      <c r="B258" s="49"/>
      <c r="C258" s="49"/>
      <c r="D258" s="50"/>
      <c r="E258" s="51"/>
      <c r="F258" s="52"/>
      <c r="G258" s="52"/>
      <c r="I258" s="53"/>
      <c r="J258" s="200"/>
      <c r="K258" s="302"/>
      <c r="L258" s="54"/>
      <c r="M258" s="55"/>
      <c r="N258" s="56"/>
    </row>
    <row r="259" spans="2:14" ht="14.1" customHeight="1">
      <c r="B259" s="49"/>
      <c r="C259" s="49"/>
      <c r="D259" s="50"/>
      <c r="E259" s="51"/>
      <c r="F259" s="52"/>
      <c r="G259" s="52"/>
      <c r="I259" s="53"/>
      <c r="J259" s="200"/>
      <c r="K259" s="302"/>
      <c r="L259" s="54"/>
      <c r="M259" s="55"/>
      <c r="N259" s="56"/>
    </row>
    <row r="260" spans="2:14" ht="14.1" customHeight="1">
      <c r="B260" s="49"/>
      <c r="C260" s="49"/>
      <c r="D260" s="50"/>
      <c r="E260" s="51"/>
      <c r="F260" s="52"/>
      <c r="G260" s="52"/>
      <c r="I260" s="53"/>
      <c r="J260" s="200"/>
      <c r="K260" s="302"/>
      <c r="L260" s="54"/>
      <c r="M260" s="55"/>
      <c r="N260" s="56"/>
    </row>
    <row r="261" spans="2:14" ht="14.1" customHeight="1">
      <c r="B261" s="49"/>
      <c r="C261" s="49"/>
      <c r="D261" s="50"/>
      <c r="E261" s="51"/>
      <c r="F261" s="52"/>
      <c r="G261" s="52"/>
      <c r="I261" s="53"/>
      <c r="J261" s="200"/>
      <c r="K261" s="302"/>
      <c r="L261" s="54"/>
      <c r="M261" s="55"/>
      <c r="N261" s="56"/>
    </row>
    <row r="262" spans="2:14" ht="14.1" customHeight="1">
      <c r="B262" s="49"/>
      <c r="C262" s="49"/>
      <c r="D262" s="50"/>
      <c r="E262" s="51"/>
      <c r="F262" s="52"/>
      <c r="G262" s="52"/>
      <c r="I262" s="53"/>
      <c r="J262" s="200"/>
      <c r="K262" s="302"/>
      <c r="L262" s="54"/>
      <c r="M262" s="55"/>
      <c r="N262" s="56"/>
    </row>
    <row r="263" spans="2:14" ht="14.1" customHeight="1">
      <c r="B263" s="49"/>
      <c r="C263" s="49"/>
      <c r="D263" s="50"/>
      <c r="E263" s="51"/>
      <c r="F263" s="52"/>
      <c r="G263" s="52"/>
      <c r="I263" s="53"/>
      <c r="J263" s="200"/>
      <c r="K263" s="302"/>
      <c r="L263" s="54"/>
      <c r="M263" s="55"/>
      <c r="N263" s="56"/>
    </row>
    <row r="264" spans="2:14" ht="14.1" customHeight="1">
      <c r="B264" s="49"/>
      <c r="C264" s="49"/>
      <c r="D264" s="50"/>
      <c r="E264" s="51"/>
      <c r="F264" s="52"/>
      <c r="G264" s="52"/>
      <c r="I264" s="53"/>
      <c r="J264" s="200"/>
      <c r="K264" s="302"/>
      <c r="L264" s="54"/>
      <c r="M264" s="55"/>
      <c r="N264" s="56"/>
    </row>
    <row r="265" spans="2:14" ht="14.1" customHeight="1">
      <c r="B265" s="49"/>
      <c r="C265" s="49"/>
      <c r="D265" s="50"/>
      <c r="E265" s="51"/>
      <c r="F265" s="52"/>
      <c r="G265" s="52"/>
      <c r="I265" s="53"/>
      <c r="J265" s="200"/>
      <c r="K265" s="302"/>
      <c r="L265" s="54"/>
      <c r="M265" s="55"/>
      <c r="N265" s="56"/>
    </row>
    <row r="266" spans="2:14" ht="14.1" customHeight="1">
      <c r="B266" s="49"/>
      <c r="C266" s="49"/>
      <c r="D266" s="50"/>
      <c r="E266" s="51"/>
      <c r="F266" s="52"/>
      <c r="G266" s="52"/>
      <c r="I266" s="53"/>
      <c r="J266" s="200"/>
      <c r="K266" s="302"/>
      <c r="L266" s="54"/>
      <c r="M266" s="55"/>
      <c r="N266" s="56"/>
    </row>
    <row r="267" spans="2:14" ht="14.1" customHeight="1">
      <c r="B267" s="49"/>
      <c r="C267" s="49"/>
      <c r="D267" s="50"/>
      <c r="E267" s="51"/>
      <c r="F267" s="52"/>
      <c r="G267" s="52"/>
      <c r="I267" s="53"/>
      <c r="J267" s="200"/>
      <c r="K267" s="302"/>
      <c r="L267" s="54"/>
      <c r="M267" s="55"/>
      <c r="N267" s="56"/>
    </row>
    <row r="268" spans="2:14" ht="14.1" customHeight="1">
      <c r="B268" s="49"/>
      <c r="C268" s="49"/>
      <c r="D268" s="50"/>
      <c r="E268" s="51"/>
      <c r="F268" s="52"/>
      <c r="G268" s="52"/>
      <c r="I268" s="53"/>
      <c r="J268" s="200"/>
      <c r="K268" s="302"/>
      <c r="L268" s="54"/>
      <c r="M268" s="55"/>
      <c r="N268" s="56"/>
    </row>
    <row r="269" spans="2:14" ht="14.1" customHeight="1">
      <c r="B269" s="49"/>
      <c r="C269" s="49"/>
      <c r="D269" s="50"/>
      <c r="E269" s="51"/>
      <c r="F269" s="52"/>
      <c r="G269" s="52"/>
      <c r="I269" s="53"/>
      <c r="J269" s="200"/>
      <c r="K269" s="302"/>
      <c r="L269" s="54"/>
      <c r="M269" s="55"/>
      <c r="N269" s="56"/>
    </row>
    <row r="270" spans="2:14" ht="14.1" customHeight="1">
      <c r="B270" s="49"/>
      <c r="C270" s="49"/>
      <c r="D270" s="50"/>
      <c r="E270" s="51"/>
      <c r="F270" s="52"/>
      <c r="G270" s="52"/>
      <c r="I270" s="53"/>
      <c r="J270" s="200"/>
      <c r="K270" s="302"/>
      <c r="L270" s="54"/>
      <c r="M270" s="55"/>
      <c r="N270" s="56"/>
    </row>
    <row r="271" spans="2:14" ht="14.1" customHeight="1">
      <c r="B271" s="49"/>
      <c r="C271" s="49"/>
      <c r="D271" s="50"/>
      <c r="E271" s="51"/>
      <c r="F271" s="52"/>
      <c r="G271" s="52"/>
      <c r="I271" s="53"/>
      <c r="J271" s="200"/>
      <c r="K271" s="302"/>
      <c r="L271" s="54"/>
      <c r="M271" s="55"/>
      <c r="N271" s="56"/>
    </row>
    <row r="272" spans="2:14" ht="14.1" customHeight="1">
      <c r="B272" s="49"/>
      <c r="C272" s="49"/>
      <c r="D272" s="50"/>
      <c r="E272" s="51"/>
      <c r="F272" s="52"/>
      <c r="G272" s="52"/>
      <c r="I272" s="53"/>
      <c r="J272" s="200"/>
      <c r="K272" s="302"/>
      <c r="L272" s="54"/>
      <c r="M272" s="55"/>
      <c r="N272" s="56"/>
    </row>
    <row r="273" spans="2:14" ht="14.1" customHeight="1">
      <c r="B273" s="49"/>
      <c r="C273" s="49"/>
      <c r="D273" s="50"/>
      <c r="E273" s="51"/>
      <c r="F273" s="52"/>
      <c r="G273" s="52"/>
      <c r="I273" s="53"/>
      <c r="J273" s="200"/>
      <c r="K273" s="302"/>
      <c r="L273" s="54"/>
      <c r="M273" s="55"/>
      <c r="N273" s="56"/>
    </row>
    <row r="274" spans="2:14" ht="14.1" customHeight="1">
      <c r="B274" s="49"/>
      <c r="C274" s="49"/>
      <c r="D274" s="50"/>
      <c r="E274" s="51"/>
      <c r="F274" s="52"/>
      <c r="G274" s="52"/>
      <c r="I274" s="53"/>
      <c r="J274" s="200"/>
      <c r="K274" s="302"/>
      <c r="L274" s="54"/>
      <c r="M274" s="55"/>
      <c r="N274" s="56"/>
    </row>
    <row r="275" spans="2:14" ht="14.1" customHeight="1">
      <c r="B275" s="49"/>
      <c r="C275" s="49"/>
      <c r="D275" s="50"/>
      <c r="E275" s="51"/>
      <c r="F275" s="52"/>
      <c r="G275" s="52"/>
      <c r="I275" s="53"/>
      <c r="J275" s="200"/>
      <c r="K275" s="302"/>
      <c r="L275" s="54"/>
      <c r="M275" s="55"/>
      <c r="N275" s="56"/>
    </row>
    <row r="276" spans="2:14" ht="14.1" customHeight="1">
      <c r="B276" s="49"/>
      <c r="C276" s="49"/>
      <c r="D276" s="50"/>
      <c r="E276" s="51"/>
      <c r="F276" s="52"/>
      <c r="G276" s="52"/>
      <c r="I276" s="53"/>
      <c r="J276" s="200"/>
      <c r="K276" s="302"/>
      <c r="L276" s="54"/>
      <c r="M276" s="55"/>
      <c r="N276" s="56"/>
    </row>
    <row r="277" spans="2:14" ht="14.1" customHeight="1">
      <c r="B277" s="49"/>
      <c r="C277" s="49"/>
      <c r="D277" s="50"/>
      <c r="E277" s="51"/>
      <c r="F277" s="52"/>
      <c r="G277" s="52"/>
      <c r="I277" s="53"/>
      <c r="J277" s="200"/>
      <c r="K277" s="302"/>
      <c r="L277" s="54"/>
      <c r="M277" s="55"/>
      <c r="N277" s="56"/>
    </row>
    <row r="278" spans="2:14" ht="14.1" customHeight="1">
      <c r="B278" s="49"/>
      <c r="C278" s="49"/>
      <c r="D278" s="50"/>
      <c r="E278" s="51"/>
      <c r="F278" s="52"/>
      <c r="G278" s="52"/>
      <c r="I278" s="53"/>
      <c r="J278" s="200"/>
      <c r="K278" s="302"/>
      <c r="L278" s="54"/>
      <c r="M278" s="55"/>
      <c r="N278" s="56"/>
    </row>
    <row r="279" spans="2:14" ht="14.1" customHeight="1">
      <c r="B279" s="49"/>
      <c r="C279" s="49"/>
      <c r="D279" s="50"/>
      <c r="E279" s="51"/>
      <c r="F279" s="52"/>
      <c r="G279" s="52"/>
      <c r="I279" s="53"/>
      <c r="J279" s="200"/>
      <c r="K279" s="302"/>
      <c r="L279" s="54"/>
      <c r="M279" s="55"/>
      <c r="N279" s="56"/>
    </row>
    <row r="280" spans="2:14" ht="14.1" customHeight="1">
      <c r="B280" s="49"/>
      <c r="C280" s="49"/>
      <c r="D280" s="50"/>
      <c r="E280" s="51"/>
      <c r="F280" s="52"/>
      <c r="G280" s="52"/>
      <c r="I280" s="53"/>
      <c r="J280" s="200"/>
      <c r="K280" s="302"/>
      <c r="L280" s="54"/>
      <c r="M280" s="55"/>
      <c r="N280" s="56"/>
    </row>
    <row r="281" spans="2:14" ht="14.1" customHeight="1">
      <c r="B281" s="49"/>
      <c r="C281" s="49"/>
      <c r="D281" s="50"/>
      <c r="E281" s="51"/>
      <c r="F281" s="52"/>
      <c r="G281" s="52"/>
      <c r="I281" s="53"/>
      <c r="J281" s="200"/>
      <c r="K281" s="302"/>
      <c r="L281" s="54"/>
      <c r="M281" s="55"/>
      <c r="N281" s="56"/>
    </row>
    <row r="282" spans="2:14" ht="14.1" customHeight="1">
      <c r="B282" s="49"/>
      <c r="C282" s="49"/>
      <c r="D282" s="50"/>
      <c r="E282" s="51"/>
      <c r="F282" s="52"/>
      <c r="G282" s="52"/>
      <c r="I282" s="53"/>
      <c r="J282" s="200"/>
      <c r="K282" s="302"/>
      <c r="L282" s="54"/>
      <c r="M282" s="55"/>
      <c r="N282" s="56"/>
    </row>
    <row r="283" spans="2:14" ht="14.1" customHeight="1">
      <c r="B283" s="49"/>
      <c r="C283" s="49"/>
      <c r="D283" s="50"/>
      <c r="E283" s="51"/>
      <c r="F283" s="52"/>
      <c r="G283" s="52"/>
      <c r="I283" s="53"/>
      <c r="J283" s="200"/>
      <c r="K283" s="302"/>
      <c r="L283" s="54"/>
      <c r="M283" s="55"/>
      <c r="N283" s="56"/>
    </row>
    <row r="284" spans="2:14" ht="14.1" customHeight="1">
      <c r="B284" s="49"/>
      <c r="C284" s="49"/>
      <c r="D284" s="50"/>
      <c r="E284" s="51"/>
      <c r="F284" s="52"/>
      <c r="G284" s="52"/>
      <c r="I284" s="53"/>
      <c r="J284" s="200"/>
      <c r="K284" s="302"/>
      <c r="L284" s="54"/>
      <c r="M284" s="55"/>
      <c r="N284" s="56"/>
    </row>
    <row r="285" spans="2:14" ht="14.1" customHeight="1">
      <c r="B285" s="49"/>
      <c r="C285" s="49"/>
      <c r="D285" s="50"/>
      <c r="E285" s="51"/>
      <c r="F285" s="52"/>
      <c r="G285" s="52"/>
      <c r="I285" s="53"/>
      <c r="J285" s="200"/>
      <c r="K285" s="302"/>
      <c r="L285" s="54"/>
      <c r="M285" s="55"/>
      <c r="N285" s="56"/>
    </row>
    <row r="286" spans="2:14" ht="14.1" customHeight="1">
      <c r="B286" s="49"/>
      <c r="C286" s="49"/>
      <c r="D286" s="50"/>
      <c r="E286" s="51"/>
      <c r="F286" s="52"/>
      <c r="G286" s="52"/>
      <c r="I286" s="53"/>
      <c r="J286" s="200"/>
      <c r="K286" s="302"/>
      <c r="L286" s="54"/>
      <c r="M286" s="55"/>
      <c r="N286" s="56"/>
    </row>
    <row r="287" spans="2:14" ht="14.1" customHeight="1">
      <c r="B287" s="49"/>
      <c r="C287" s="49"/>
      <c r="D287" s="50"/>
      <c r="E287" s="51"/>
      <c r="F287" s="52"/>
      <c r="G287" s="52"/>
      <c r="I287" s="53"/>
      <c r="J287" s="200"/>
      <c r="K287" s="302"/>
      <c r="L287" s="54"/>
      <c r="M287" s="55"/>
      <c r="N287" s="56"/>
    </row>
    <row r="288" spans="2:14" ht="14.1" customHeight="1">
      <c r="B288" s="49"/>
      <c r="C288" s="49"/>
      <c r="D288" s="50"/>
      <c r="E288" s="51"/>
      <c r="F288" s="52"/>
      <c r="G288" s="52"/>
      <c r="I288" s="53"/>
      <c r="J288" s="200"/>
      <c r="K288" s="302"/>
      <c r="L288" s="54"/>
      <c r="M288" s="55"/>
      <c r="N288" s="56"/>
    </row>
    <row r="289" spans="2:14" ht="14.1" customHeight="1">
      <c r="B289" s="49"/>
      <c r="C289" s="49"/>
      <c r="D289" s="50"/>
      <c r="E289" s="51"/>
      <c r="F289" s="52"/>
      <c r="G289" s="52"/>
      <c r="I289" s="53"/>
      <c r="J289" s="200"/>
      <c r="K289" s="302"/>
      <c r="L289" s="54"/>
      <c r="M289" s="55"/>
      <c r="N289" s="56"/>
    </row>
    <row r="290" spans="2:14" ht="14.1" customHeight="1">
      <c r="B290" s="49"/>
      <c r="C290" s="49"/>
      <c r="D290" s="50"/>
      <c r="E290" s="51"/>
      <c r="F290" s="52"/>
      <c r="G290" s="52"/>
      <c r="I290" s="53"/>
      <c r="J290" s="200"/>
      <c r="K290" s="302"/>
      <c r="L290" s="54"/>
      <c r="M290" s="55"/>
      <c r="N290" s="56"/>
    </row>
    <row r="291" spans="2:14" ht="14.1" customHeight="1">
      <c r="B291" s="49"/>
      <c r="C291" s="49"/>
      <c r="D291" s="50"/>
      <c r="E291" s="51"/>
      <c r="F291" s="52"/>
      <c r="G291" s="52"/>
      <c r="I291" s="53"/>
      <c r="J291" s="200"/>
      <c r="K291" s="302"/>
      <c r="L291" s="54"/>
      <c r="M291" s="55"/>
      <c r="N291" s="56"/>
    </row>
    <row r="292" spans="2:14" ht="14.1" customHeight="1">
      <c r="B292" s="49"/>
      <c r="C292" s="49"/>
      <c r="D292" s="50"/>
      <c r="E292" s="51"/>
      <c r="F292" s="52"/>
      <c r="G292" s="52"/>
      <c r="I292" s="53"/>
      <c r="J292" s="200"/>
      <c r="K292" s="302"/>
      <c r="L292" s="54"/>
      <c r="M292" s="55"/>
      <c r="N292" s="56"/>
    </row>
    <row r="293" spans="2:14" ht="14.1" customHeight="1">
      <c r="B293" s="49"/>
      <c r="C293" s="49"/>
      <c r="D293" s="50"/>
      <c r="E293" s="51"/>
      <c r="F293" s="52"/>
      <c r="G293" s="52"/>
      <c r="I293" s="53"/>
      <c r="J293" s="200"/>
      <c r="K293" s="302"/>
      <c r="L293" s="54"/>
      <c r="M293" s="55"/>
      <c r="N293" s="56"/>
    </row>
    <row r="294" spans="2:14" ht="14.1" customHeight="1">
      <c r="B294" s="49"/>
      <c r="C294" s="49"/>
      <c r="D294" s="50"/>
      <c r="E294" s="51"/>
      <c r="F294" s="52"/>
      <c r="G294" s="52"/>
      <c r="I294" s="53"/>
      <c r="J294" s="200"/>
      <c r="K294" s="302"/>
      <c r="L294" s="54"/>
      <c r="M294" s="55"/>
      <c r="N294" s="56"/>
    </row>
    <row r="295" spans="2:14" ht="14.1" customHeight="1">
      <c r="B295" s="49"/>
      <c r="C295" s="49"/>
      <c r="D295" s="50"/>
      <c r="E295" s="51"/>
      <c r="F295" s="52"/>
      <c r="G295" s="52"/>
      <c r="I295" s="53"/>
      <c r="J295" s="200"/>
      <c r="K295" s="302"/>
      <c r="L295" s="54"/>
      <c r="M295" s="55"/>
      <c r="N295" s="56"/>
    </row>
    <row r="296" spans="2:14" ht="14.1" customHeight="1">
      <c r="B296" s="49"/>
      <c r="C296" s="49"/>
      <c r="D296" s="50"/>
      <c r="E296" s="51"/>
      <c r="F296" s="52"/>
      <c r="G296" s="52"/>
      <c r="I296" s="53"/>
      <c r="J296" s="200"/>
      <c r="K296" s="302"/>
      <c r="L296" s="54"/>
      <c r="M296" s="55"/>
      <c r="N296" s="56"/>
    </row>
    <row r="297" spans="2:14" ht="14.1" customHeight="1">
      <c r="B297" s="49"/>
      <c r="C297" s="49"/>
      <c r="D297" s="50"/>
      <c r="E297" s="51"/>
      <c r="F297" s="52"/>
      <c r="G297" s="52"/>
      <c r="I297" s="53"/>
      <c r="J297" s="200"/>
      <c r="K297" s="302"/>
      <c r="L297" s="54"/>
      <c r="M297" s="55"/>
      <c r="N297" s="56"/>
    </row>
    <row r="298" spans="2:14" ht="14.1" customHeight="1">
      <c r="B298" s="49"/>
      <c r="C298" s="49"/>
      <c r="D298" s="50"/>
      <c r="E298" s="51"/>
      <c r="F298" s="52"/>
      <c r="G298" s="52"/>
      <c r="I298" s="53"/>
      <c r="J298" s="200"/>
      <c r="K298" s="302"/>
      <c r="L298" s="54"/>
      <c r="M298" s="55"/>
      <c r="N298" s="56"/>
    </row>
    <row r="299" spans="2:14" ht="14.1" customHeight="1">
      <c r="B299" s="49"/>
      <c r="C299" s="49"/>
      <c r="D299" s="50"/>
      <c r="E299" s="51"/>
      <c r="F299" s="52"/>
      <c r="G299" s="52"/>
      <c r="I299" s="53"/>
      <c r="J299" s="200"/>
      <c r="K299" s="302"/>
      <c r="L299" s="54"/>
      <c r="M299" s="55"/>
      <c r="N299" s="56"/>
    </row>
    <row r="300" spans="2:14" ht="14.1" customHeight="1">
      <c r="B300" s="49"/>
      <c r="C300" s="49"/>
      <c r="D300" s="50"/>
      <c r="E300" s="51"/>
      <c r="F300" s="52"/>
      <c r="G300" s="52"/>
      <c r="I300" s="53"/>
      <c r="J300" s="200"/>
      <c r="K300" s="302"/>
      <c r="L300" s="54"/>
      <c r="M300" s="55"/>
      <c r="N300" s="56"/>
    </row>
    <row r="301" spans="2:14" ht="14.1" customHeight="1">
      <c r="B301" s="49"/>
      <c r="C301" s="49"/>
      <c r="D301" s="50"/>
      <c r="E301" s="51"/>
      <c r="F301" s="52"/>
      <c r="G301" s="52"/>
      <c r="I301" s="53"/>
      <c r="J301" s="200"/>
      <c r="K301" s="302"/>
      <c r="L301" s="54"/>
      <c r="M301" s="55"/>
      <c r="N301" s="56"/>
    </row>
    <row r="302" spans="2:14" ht="14.1" customHeight="1">
      <c r="B302" s="49"/>
      <c r="C302" s="49"/>
      <c r="D302" s="50"/>
      <c r="E302" s="51"/>
      <c r="F302" s="52"/>
      <c r="G302" s="52"/>
      <c r="I302" s="53"/>
      <c r="J302" s="200"/>
      <c r="K302" s="302"/>
      <c r="L302" s="54"/>
      <c r="M302" s="55"/>
      <c r="N302" s="56"/>
    </row>
    <row r="303" spans="2:14" ht="14.1" customHeight="1">
      <c r="B303" s="49"/>
      <c r="C303" s="49"/>
      <c r="D303" s="50"/>
      <c r="E303" s="51"/>
      <c r="F303" s="52"/>
      <c r="G303" s="52"/>
      <c r="I303" s="53"/>
      <c r="J303" s="200"/>
      <c r="K303" s="302"/>
      <c r="L303" s="54"/>
      <c r="M303" s="55"/>
      <c r="N303" s="56"/>
    </row>
    <row r="304" spans="2:14" ht="14.1" customHeight="1">
      <c r="B304" s="49"/>
      <c r="C304" s="49"/>
      <c r="D304" s="50"/>
      <c r="E304" s="51"/>
      <c r="F304" s="52"/>
      <c r="G304" s="52"/>
      <c r="I304" s="53"/>
      <c r="J304" s="200"/>
      <c r="K304" s="302"/>
      <c r="L304" s="54"/>
      <c r="M304" s="55"/>
      <c r="N304" s="56"/>
    </row>
    <row r="305" spans="2:14" ht="14.1" customHeight="1">
      <c r="B305" s="49"/>
      <c r="C305" s="49"/>
      <c r="D305" s="50"/>
      <c r="E305" s="51"/>
      <c r="F305" s="52"/>
      <c r="G305" s="52"/>
      <c r="I305" s="53"/>
      <c r="J305" s="200"/>
      <c r="K305" s="302"/>
      <c r="L305" s="54"/>
      <c r="M305" s="55"/>
      <c r="N305" s="56"/>
    </row>
    <row r="306" spans="2:14" ht="14.1" customHeight="1">
      <c r="B306" s="49"/>
      <c r="C306" s="49"/>
      <c r="D306" s="50"/>
      <c r="E306" s="51"/>
      <c r="F306" s="52"/>
      <c r="G306" s="52"/>
      <c r="I306" s="53"/>
      <c r="J306" s="200"/>
      <c r="K306" s="302"/>
      <c r="L306" s="54"/>
      <c r="M306" s="55"/>
      <c r="N306" s="56"/>
    </row>
    <row r="307" spans="2:14" ht="14.1" customHeight="1">
      <c r="B307" s="49"/>
      <c r="C307" s="49"/>
      <c r="D307" s="50"/>
      <c r="E307" s="51"/>
      <c r="F307" s="52"/>
      <c r="G307" s="52"/>
      <c r="I307" s="53"/>
      <c r="J307" s="200"/>
      <c r="K307" s="302"/>
      <c r="L307" s="54"/>
      <c r="M307" s="55"/>
      <c r="N307" s="56"/>
    </row>
    <row r="308" spans="2:14" ht="14.1" customHeight="1">
      <c r="B308" s="49"/>
      <c r="C308" s="49"/>
      <c r="D308" s="50"/>
      <c r="E308" s="51"/>
      <c r="F308" s="52"/>
      <c r="G308" s="52"/>
      <c r="I308" s="53"/>
      <c r="J308" s="200"/>
      <c r="K308" s="302"/>
      <c r="L308" s="54"/>
      <c r="M308" s="55"/>
      <c r="N308" s="56"/>
    </row>
    <row r="309" spans="2:14" ht="14.1" customHeight="1">
      <c r="B309" s="49"/>
      <c r="C309" s="49"/>
      <c r="D309" s="50"/>
      <c r="E309" s="51"/>
      <c r="F309" s="52"/>
      <c r="G309" s="52"/>
      <c r="I309" s="53"/>
      <c r="J309" s="200"/>
      <c r="K309" s="302"/>
      <c r="L309" s="54"/>
      <c r="M309" s="55"/>
      <c r="N309" s="56"/>
    </row>
    <row r="310" spans="2:14" ht="14.1" customHeight="1">
      <c r="B310" s="49"/>
      <c r="C310" s="49"/>
      <c r="D310" s="50"/>
      <c r="E310" s="51"/>
      <c r="F310" s="52"/>
      <c r="G310" s="52"/>
      <c r="I310" s="53"/>
      <c r="J310" s="200"/>
      <c r="K310" s="302"/>
      <c r="L310" s="54"/>
      <c r="M310" s="55"/>
      <c r="N310" s="56"/>
    </row>
    <row r="311" spans="2:14" ht="14.1" customHeight="1">
      <c r="B311" s="49"/>
      <c r="C311" s="49"/>
      <c r="D311" s="50"/>
      <c r="E311" s="51"/>
      <c r="F311" s="52"/>
      <c r="G311" s="52"/>
      <c r="I311" s="53"/>
      <c r="J311" s="200"/>
      <c r="K311" s="302"/>
      <c r="L311" s="54"/>
      <c r="M311" s="55"/>
      <c r="N311" s="56"/>
    </row>
    <row r="312" spans="2:14" ht="14.1" customHeight="1">
      <c r="B312" s="49"/>
      <c r="C312" s="49"/>
      <c r="D312" s="50"/>
      <c r="E312" s="51"/>
      <c r="F312" s="52"/>
      <c r="G312" s="52"/>
      <c r="I312" s="53"/>
      <c r="J312" s="200"/>
      <c r="K312" s="302"/>
      <c r="L312" s="54"/>
      <c r="M312" s="55"/>
      <c r="N312" s="56"/>
    </row>
    <row r="313" spans="2:14" ht="14.1" customHeight="1">
      <c r="B313" s="49"/>
      <c r="C313" s="49"/>
      <c r="D313" s="50"/>
      <c r="E313" s="51"/>
      <c r="F313" s="52"/>
      <c r="G313" s="52"/>
      <c r="I313" s="53"/>
      <c r="J313" s="200"/>
      <c r="K313" s="302"/>
      <c r="L313" s="54"/>
      <c r="M313" s="55"/>
      <c r="N313" s="56"/>
    </row>
    <row r="314" spans="2:14" ht="14.1" customHeight="1">
      <c r="B314" s="49"/>
      <c r="C314" s="49"/>
      <c r="D314" s="50"/>
      <c r="E314" s="51"/>
      <c r="F314" s="52"/>
      <c r="G314" s="52"/>
      <c r="I314" s="53"/>
      <c r="J314" s="200"/>
      <c r="K314" s="302"/>
      <c r="L314" s="54"/>
      <c r="M314" s="55"/>
      <c r="N314" s="56"/>
    </row>
    <row r="315" spans="2:14" ht="14.1" customHeight="1">
      <c r="B315" s="49"/>
      <c r="C315" s="49"/>
      <c r="D315" s="50"/>
      <c r="E315" s="51"/>
      <c r="F315" s="52"/>
      <c r="G315" s="52"/>
      <c r="I315" s="53"/>
      <c r="J315" s="200"/>
      <c r="K315" s="302"/>
      <c r="L315" s="54"/>
      <c r="M315" s="55"/>
      <c r="N315" s="56"/>
    </row>
    <row r="316" spans="2:14" ht="14.1" customHeight="1">
      <c r="B316" s="49"/>
      <c r="C316" s="49"/>
      <c r="D316" s="50"/>
      <c r="E316" s="51"/>
      <c r="F316" s="52"/>
      <c r="G316" s="52"/>
      <c r="I316" s="53"/>
      <c r="J316" s="200"/>
      <c r="K316" s="302"/>
      <c r="L316" s="54"/>
      <c r="M316" s="55"/>
      <c r="N316" s="56"/>
    </row>
    <row r="317" spans="2:14" ht="14.1" customHeight="1">
      <c r="B317" s="49"/>
      <c r="C317" s="49"/>
      <c r="D317" s="50"/>
      <c r="E317" s="51"/>
      <c r="F317" s="52"/>
      <c r="G317" s="52"/>
      <c r="I317" s="53"/>
      <c r="J317" s="200"/>
      <c r="K317" s="302"/>
      <c r="L317" s="54"/>
      <c r="M317" s="55"/>
      <c r="N317" s="56"/>
    </row>
    <row r="318" spans="2:14" ht="14.1" customHeight="1">
      <c r="B318" s="49"/>
      <c r="C318" s="49"/>
      <c r="D318" s="50"/>
      <c r="E318" s="51"/>
      <c r="F318" s="52"/>
      <c r="G318" s="52"/>
      <c r="I318" s="53"/>
      <c r="J318" s="200"/>
      <c r="K318" s="302"/>
      <c r="L318" s="54"/>
      <c r="M318" s="55"/>
      <c r="N318" s="56"/>
    </row>
    <row r="319" spans="2:14" ht="14.1" customHeight="1">
      <c r="B319" s="49"/>
      <c r="C319" s="49"/>
      <c r="D319" s="50"/>
      <c r="E319" s="51"/>
      <c r="F319" s="52"/>
      <c r="G319" s="52"/>
      <c r="I319" s="53"/>
      <c r="J319" s="200"/>
      <c r="K319" s="302"/>
      <c r="L319" s="54"/>
      <c r="M319" s="55"/>
      <c r="N319" s="56"/>
    </row>
    <row r="320" spans="2:14" ht="14.1" customHeight="1">
      <c r="B320" s="49"/>
      <c r="C320" s="49"/>
      <c r="D320" s="50"/>
      <c r="E320" s="51"/>
      <c r="F320" s="52"/>
      <c r="G320" s="52"/>
      <c r="I320" s="53"/>
      <c r="J320" s="200"/>
      <c r="K320" s="302"/>
      <c r="L320" s="54"/>
      <c r="M320" s="55"/>
      <c r="N320" s="56"/>
    </row>
    <row r="321" spans="2:14" ht="14.1" customHeight="1">
      <c r="B321" s="49"/>
      <c r="C321" s="49"/>
      <c r="D321" s="50"/>
      <c r="E321" s="51"/>
      <c r="F321" s="52"/>
      <c r="G321" s="52"/>
      <c r="I321" s="53"/>
      <c r="J321" s="200"/>
      <c r="K321" s="302"/>
      <c r="L321" s="54"/>
      <c r="M321" s="55"/>
      <c r="N321" s="56"/>
    </row>
    <row r="322" spans="2:14" ht="14.1" customHeight="1">
      <c r="B322" s="49"/>
      <c r="C322" s="49"/>
      <c r="D322" s="50"/>
      <c r="E322" s="51"/>
      <c r="F322" s="52"/>
      <c r="G322" s="52"/>
      <c r="I322" s="53"/>
      <c r="J322" s="200"/>
      <c r="K322" s="302"/>
      <c r="L322" s="54"/>
      <c r="M322" s="55"/>
      <c r="N322" s="56"/>
    </row>
    <row r="323" spans="2:14" ht="14.1" customHeight="1">
      <c r="B323" s="49"/>
      <c r="C323" s="49"/>
      <c r="D323" s="50"/>
      <c r="E323" s="51"/>
      <c r="F323" s="52"/>
      <c r="G323" s="52"/>
      <c r="I323" s="53"/>
      <c r="J323" s="200"/>
      <c r="K323" s="302"/>
      <c r="L323" s="54"/>
      <c r="M323" s="55"/>
      <c r="N323" s="56"/>
    </row>
    <row r="324" spans="2:14" ht="14.1" customHeight="1">
      <c r="B324" s="49"/>
      <c r="C324" s="49"/>
      <c r="D324" s="50"/>
      <c r="E324" s="51"/>
      <c r="F324" s="52"/>
      <c r="G324" s="52"/>
      <c r="I324" s="53"/>
      <c r="J324" s="200"/>
      <c r="K324" s="302"/>
      <c r="L324" s="54"/>
      <c r="M324" s="55"/>
      <c r="N324" s="56"/>
    </row>
    <row r="325" spans="2:14" ht="14.1" customHeight="1">
      <c r="B325" s="49"/>
      <c r="C325" s="49"/>
      <c r="D325" s="50"/>
      <c r="E325" s="51"/>
      <c r="F325" s="52"/>
      <c r="G325" s="52"/>
      <c r="I325" s="53"/>
      <c r="J325" s="200"/>
      <c r="K325" s="302"/>
      <c r="L325" s="54"/>
      <c r="M325" s="55"/>
      <c r="N325" s="56"/>
    </row>
    <row r="326" spans="2:14" ht="14.1" customHeight="1">
      <c r="B326" s="49"/>
      <c r="C326" s="49"/>
      <c r="D326" s="50"/>
      <c r="E326" s="51"/>
      <c r="F326" s="52"/>
      <c r="G326" s="52"/>
      <c r="I326" s="53"/>
      <c r="J326" s="200"/>
      <c r="K326" s="302"/>
      <c r="L326" s="54"/>
      <c r="M326" s="55"/>
      <c r="N326" s="56"/>
    </row>
    <row r="327" spans="2:14" ht="14.1" customHeight="1">
      <c r="B327" s="49"/>
      <c r="C327" s="49"/>
      <c r="D327" s="50"/>
      <c r="E327" s="51"/>
      <c r="F327" s="52"/>
      <c r="G327" s="52"/>
      <c r="I327" s="53"/>
      <c r="J327" s="200"/>
      <c r="K327" s="302"/>
      <c r="L327" s="54"/>
      <c r="M327" s="55"/>
      <c r="N327" s="56"/>
    </row>
    <row r="328" spans="2:14" ht="14.1" customHeight="1">
      <c r="B328" s="49"/>
      <c r="C328" s="49"/>
      <c r="D328" s="50"/>
      <c r="E328" s="51"/>
      <c r="F328" s="52"/>
      <c r="G328" s="52"/>
      <c r="I328" s="53"/>
      <c r="J328" s="200"/>
      <c r="K328" s="302"/>
      <c r="L328" s="54"/>
      <c r="M328" s="55"/>
      <c r="N328" s="56"/>
    </row>
  </sheetData>
  <autoFilter ref="B9:P242" xr:uid="{00000000-0009-0000-0000-000004000000}"/>
  <phoneticPr fontId="10"/>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3" manualBreakCount="3">
    <brk id="55" min="1" max="21" man="1"/>
    <brk id="105" min="1" max="21" man="1"/>
    <brk id="165"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48" activePane="bottomLeft" state="frozen"/>
      <selection activeCell="B1" sqref="B1"/>
      <selection pane="bottomLeft" activeCell="C15" sqref="C13:C15"/>
    </sheetView>
  </sheetViews>
  <sheetFormatPr defaultColWidth="9.33203125" defaultRowHeight="13.2"/>
  <cols>
    <col min="1" max="1" width="45.5546875" style="3" customWidth="1"/>
    <col min="2" max="2" width="18.33203125" style="3" customWidth="1"/>
    <col min="3" max="3" width="18.44140625" style="3" customWidth="1"/>
    <col min="4" max="4" width="10.6640625" style="3" customWidth="1"/>
    <col min="5" max="5" width="11.109375" style="3" customWidth="1"/>
    <col min="6" max="6" width="2.109375" style="3" customWidth="1"/>
    <col min="7" max="7" width="7.88671875" style="3" customWidth="1"/>
    <col min="8" max="8" width="27" style="3" bestFit="1" customWidth="1"/>
    <col min="9" max="16384" width="9.33203125" style="3"/>
  </cols>
  <sheetData>
    <row r="1" spans="1:8">
      <c r="A1" s="303" t="s">
        <v>4</v>
      </c>
      <c r="B1" s="58"/>
      <c r="C1" s="2"/>
      <c r="D1" s="2"/>
      <c r="E1" s="2"/>
      <c r="F1" s="2"/>
      <c r="G1" s="2"/>
    </row>
    <row r="2" spans="1:8">
      <c r="A2" s="2"/>
      <c r="B2" s="2"/>
      <c r="C2" s="2"/>
      <c r="D2" s="2"/>
      <c r="E2" s="2"/>
      <c r="F2" s="2"/>
      <c r="G2" s="2"/>
    </row>
    <row r="3" spans="1:8" ht="15">
      <c r="A3" s="24" t="str">
        <f>'2-Kosten per locatie'!A3</f>
        <v>Naam opdrachtgever</v>
      </c>
      <c r="B3" s="33" t="str">
        <f>'2-Kosten per locatie'!B3</f>
        <v>Basis calculatiemodel</v>
      </c>
      <c r="C3" s="2"/>
      <c r="D3" s="2"/>
      <c r="E3" s="156"/>
      <c r="F3" s="2"/>
      <c r="G3" s="2"/>
    </row>
    <row r="4" spans="1:8" ht="15">
      <c r="A4" s="24" t="str">
        <f>'2-Kosten per locatie'!A4</f>
        <v>Calculatie onderdeel</v>
      </c>
      <c r="B4" s="33" t="str">
        <f ca="1">MID(CELL("bestandsnaam",$C$9),SEARCH("]",CELL("bestandsnaam",$C$9),1)+1,256)</f>
        <v>5-Premies en opslagen</v>
      </c>
      <c r="C4" s="59"/>
      <c r="D4" s="60"/>
      <c r="E4" s="5"/>
      <c r="F4" s="5"/>
      <c r="G4" s="5"/>
    </row>
    <row r="5" spans="1:8" ht="15">
      <c r="A5" s="24" t="str">
        <f>'2-Kosten per locatie'!A5</f>
        <v>Gebouw/plaats</v>
      </c>
      <c r="B5" s="33" t="str">
        <f>'2-Kosten per locatie'!B5</f>
        <v>Sliedrecht</v>
      </c>
      <c r="C5" s="24"/>
      <c r="D5" s="10"/>
      <c r="E5" s="61"/>
      <c r="F5" s="6"/>
      <c r="G5" s="5"/>
    </row>
    <row r="6" spans="1:8" ht="15">
      <c r="A6" s="24" t="str">
        <f>'2-Kosten per locatie'!A6</f>
        <v>Referentie nummer</v>
      </c>
      <c r="B6" s="33" t="str">
        <f>'2-Kosten per locatie'!B6</f>
        <v>GS-EA-MVD-SW-2023</v>
      </c>
      <c r="C6" s="37"/>
      <c r="D6" s="10"/>
      <c r="E6" s="158"/>
      <c r="F6" s="157"/>
      <c r="G6" s="159"/>
      <c r="H6" s="160"/>
    </row>
    <row r="7" spans="1:8" ht="15">
      <c r="A7" s="24" t="str">
        <f>'2-Kosten per locatie'!A7</f>
        <v>Naam dienstverlener</v>
      </c>
      <c r="B7" s="33" t="str">
        <f>'2-Kosten per locatie'!B7</f>
        <v>Gemeente Sliedrecht</v>
      </c>
      <c r="C7" s="37"/>
      <c r="D7" s="10"/>
      <c r="E7" s="61"/>
      <c r="F7" s="6"/>
      <c r="G7" s="5"/>
    </row>
    <row r="8" spans="1:8" ht="15">
      <c r="A8" s="24" t="str">
        <f>'2-Kosten per locatie'!A8</f>
        <v>Prijspeil</v>
      </c>
      <c r="B8" s="242">
        <f>'2-Kosten per locatie'!B8</f>
        <v>45474</v>
      </c>
      <c r="C8" s="61"/>
      <c r="D8" s="61"/>
      <c r="E8" s="61"/>
      <c r="F8" s="6"/>
      <c r="G8" s="5"/>
    </row>
    <row r="9" spans="1:8" ht="15">
      <c r="A9" s="62"/>
      <c r="B9" s="61"/>
      <c r="C9" s="61"/>
      <c r="D9" s="61"/>
      <c r="E9" s="61"/>
      <c r="F9" s="6"/>
      <c r="G9" s="5"/>
    </row>
    <row r="10" spans="1:8" ht="17.399999999999999">
      <c r="A10" s="304" t="s">
        <v>226</v>
      </c>
      <c r="B10" s="305"/>
      <c r="C10" s="306"/>
      <c r="D10" s="61"/>
      <c r="E10" s="61"/>
      <c r="F10" s="6"/>
      <c r="G10" s="5"/>
    </row>
    <row r="11" spans="1:8">
      <c r="A11" s="63"/>
      <c r="B11" s="4"/>
      <c r="C11" s="4"/>
      <c r="D11" s="61"/>
      <c r="E11" s="61"/>
      <c r="F11" s="5"/>
      <c r="G11" s="5"/>
    </row>
    <row r="12" spans="1:8">
      <c r="A12" s="307"/>
      <c r="B12" s="300"/>
      <c r="C12" s="308" t="s">
        <v>227</v>
      </c>
      <c r="D12" s="61"/>
      <c r="E12" s="61"/>
      <c r="F12" s="6"/>
      <c r="G12" s="5"/>
    </row>
    <row r="13" spans="1:8">
      <c r="A13" s="164" t="s">
        <v>228</v>
      </c>
      <c r="B13" s="300"/>
      <c r="C13" s="163"/>
      <c r="D13" s="61"/>
      <c r="E13" s="61"/>
      <c r="F13" s="64"/>
      <c r="G13" s="5"/>
    </row>
    <row r="14" spans="1:8">
      <c r="A14" s="164" t="s">
        <v>229</v>
      </c>
      <c r="B14" s="300"/>
      <c r="C14" s="163"/>
      <c r="D14" s="61"/>
      <c r="E14" s="61"/>
      <c r="F14" s="64"/>
      <c r="G14" s="5"/>
    </row>
    <row r="15" spans="1:8">
      <c r="A15" s="164" t="s">
        <v>230</v>
      </c>
      <c r="B15" s="300"/>
      <c r="C15" s="163"/>
      <c r="D15" s="61"/>
      <c r="E15" s="61"/>
      <c r="F15" s="64"/>
      <c r="G15" s="5"/>
    </row>
    <row r="16" spans="1:8">
      <c r="A16" s="309" t="s">
        <v>39</v>
      </c>
      <c r="B16" s="310"/>
      <c r="C16" s="311">
        <f>SUM(C13:C15)</f>
        <v>0</v>
      </c>
      <c r="D16" s="61"/>
      <c r="E16" s="61"/>
      <c r="F16" s="5"/>
    </row>
    <row r="17" spans="1:7">
      <c r="A17" s="309"/>
      <c r="B17" s="310"/>
      <c r="C17" s="311"/>
      <c r="D17" s="61"/>
      <c r="E17" s="61"/>
      <c r="F17" s="5"/>
    </row>
    <row r="18" spans="1:7">
      <c r="A18" s="453" t="s">
        <v>231</v>
      </c>
      <c r="B18" s="454"/>
      <c r="C18" s="163"/>
      <c r="D18" s="61"/>
      <c r="E18" s="61"/>
      <c r="F18" s="5"/>
    </row>
    <row r="19" spans="1:7">
      <c r="A19" s="164" t="s">
        <v>232</v>
      </c>
      <c r="B19" s="162"/>
      <c r="C19" s="163"/>
      <c r="D19" s="61"/>
      <c r="E19" s="61"/>
      <c r="F19" s="5"/>
    </row>
    <row r="20" spans="1:7">
      <c r="A20" s="453" t="s">
        <v>233</v>
      </c>
      <c r="B20" s="454"/>
      <c r="C20" s="163"/>
      <c r="D20" s="61"/>
      <c r="E20" s="61"/>
      <c r="F20" s="5"/>
    </row>
    <row r="21" spans="1:7">
      <c r="A21" s="453" t="s">
        <v>234</v>
      </c>
      <c r="B21" s="454"/>
      <c r="C21" s="312" t="e">
        <f>C34</f>
        <v>#DIV/0!</v>
      </c>
      <c r="D21" s="61"/>
      <c r="E21" s="61"/>
      <c r="F21" s="5"/>
    </row>
    <row r="22" spans="1:7">
      <c r="A22" s="453" t="s">
        <v>235</v>
      </c>
      <c r="B22" s="454"/>
      <c r="C22" s="163"/>
      <c r="D22" s="61"/>
      <c r="E22" s="61"/>
      <c r="F22" s="5"/>
    </row>
    <row r="23" spans="1:7">
      <c r="A23" s="453" t="s">
        <v>236</v>
      </c>
      <c r="B23" s="454"/>
      <c r="C23" s="163"/>
      <c r="D23" s="61"/>
      <c r="E23" s="61"/>
      <c r="F23" s="5"/>
    </row>
    <row r="24" spans="1:7">
      <c r="A24" s="455" t="s">
        <v>237</v>
      </c>
      <c r="B24" s="456"/>
      <c r="C24" s="313" t="e">
        <f>SUM(C16:C23)</f>
        <v>#DIV/0!</v>
      </c>
      <c r="D24" s="61"/>
      <c r="E24" s="61"/>
      <c r="F24" s="5"/>
    </row>
    <row r="25" spans="1:7">
      <c r="A25" s="65"/>
      <c r="B25" s="60"/>
      <c r="C25" s="8"/>
      <c r="D25" s="61"/>
      <c r="E25" s="61"/>
      <c r="F25" s="9"/>
      <c r="G25" s="5"/>
    </row>
    <row r="26" spans="1:7" ht="17.399999999999999">
      <c r="A26" s="304" t="s">
        <v>238</v>
      </c>
      <c r="B26" s="305"/>
      <c r="C26" s="306"/>
      <c r="D26" s="61"/>
      <c r="E26" s="61"/>
      <c r="F26" s="6"/>
      <c r="G26" s="5"/>
    </row>
    <row r="27" spans="1:7">
      <c r="A27" s="63"/>
      <c r="B27" s="4"/>
      <c r="C27" s="4"/>
      <c r="D27" s="61"/>
      <c r="E27" s="61"/>
      <c r="F27" s="5"/>
      <c r="G27" s="5"/>
    </row>
    <row r="28" spans="1:7">
      <c r="A28" s="4"/>
      <c r="B28" s="4"/>
      <c r="C28" s="314" t="s">
        <v>239</v>
      </c>
      <c r="D28" s="61"/>
      <c r="E28" s="61"/>
      <c r="F28" s="5"/>
      <c r="G28" s="5"/>
    </row>
    <row r="29" spans="1:7">
      <c r="A29" s="164" t="s">
        <v>240</v>
      </c>
      <c r="B29" s="300"/>
      <c r="C29" s="315">
        <f>'6-Opbouw uurtarief productie'!E21</f>
        <v>0</v>
      </c>
      <c r="D29" s="61"/>
      <c r="E29" s="61"/>
      <c r="G29" s="5"/>
    </row>
    <row r="30" spans="1:7">
      <c r="A30" s="164" t="s">
        <v>241</v>
      </c>
      <c r="B30" s="147" t="s">
        <v>242</v>
      </c>
      <c r="C30" s="316"/>
      <c r="D30" s="61"/>
      <c r="E30" s="61"/>
      <c r="F30" s="6"/>
      <c r="G30" s="5"/>
    </row>
    <row r="31" spans="1:7">
      <c r="A31" s="164" t="s">
        <v>243</v>
      </c>
      <c r="B31" s="300"/>
      <c r="C31" s="66">
        <f>C29+C30</f>
        <v>0</v>
      </c>
      <c r="D31" s="61"/>
      <c r="E31" s="61"/>
      <c r="F31" s="6"/>
      <c r="G31" s="5"/>
    </row>
    <row r="32" spans="1:7">
      <c r="A32" s="317" t="s">
        <v>244</v>
      </c>
      <c r="B32" s="67"/>
      <c r="C32" s="318"/>
      <c r="E32" s="68"/>
      <c r="F32" s="6"/>
      <c r="G32" s="5"/>
    </row>
    <row r="33" spans="1:7">
      <c r="A33" s="63"/>
      <c r="B33" s="319"/>
      <c r="C33" s="69"/>
      <c r="E33" s="4"/>
      <c r="F33" s="5"/>
      <c r="G33" s="5"/>
    </row>
    <row r="34" spans="1:7">
      <c r="A34" s="320" t="s">
        <v>245</v>
      </c>
      <c r="B34" s="321"/>
      <c r="C34" s="322" t="e">
        <f>(C31/C29)*C32</f>
        <v>#DIV/0!</v>
      </c>
      <c r="E34" s="70"/>
      <c r="F34" s="6"/>
      <c r="G34" s="71"/>
    </row>
    <row r="35" spans="1:7">
      <c r="A35" s="63"/>
      <c r="B35" s="4"/>
      <c r="C35" s="4"/>
      <c r="E35" s="70"/>
      <c r="F35" s="6"/>
      <c r="G35" s="5"/>
    </row>
    <row r="36" spans="1:7" ht="17.399999999999999">
      <c r="A36" s="323" t="s">
        <v>246</v>
      </c>
      <c r="B36" s="324"/>
      <c r="C36" s="325"/>
      <c r="E36" s="70"/>
      <c r="F36" s="6"/>
      <c r="G36" s="5"/>
    </row>
    <row r="37" spans="1:7">
      <c r="A37" s="65"/>
      <c r="B37" s="60"/>
      <c r="C37" s="8"/>
      <c r="E37" s="70"/>
      <c r="F37" s="6"/>
      <c r="G37" s="5"/>
    </row>
    <row r="38" spans="1:7">
      <c r="A38" s="65"/>
      <c r="B38" s="326" t="s">
        <v>247</v>
      </c>
      <c r="C38" s="8"/>
      <c r="E38" s="70"/>
      <c r="F38" s="6"/>
      <c r="G38" s="5"/>
    </row>
    <row r="39" spans="1:7">
      <c r="A39" s="327" t="s">
        <v>248</v>
      </c>
      <c r="B39" s="328">
        <v>365</v>
      </c>
      <c r="C39" s="8"/>
      <c r="E39" s="70"/>
      <c r="F39" s="6"/>
      <c r="G39" s="11"/>
    </row>
    <row r="40" spans="1:7">
      <c r="A40" s="327" t="s">
        <v>249</v>
      </c>
      <c r="B40" s="328">
        <v>104</v>
      </c>
      <c r="C40" s="8"/>
      <c r="E40" s="70"/>
      <c r="F40" s="6"/>
      <c r="G40" s="11"/>
    </row>
    <row r="41" spans="1:7">
      <c r="A41" s="329" t="s">
        <v>250</v>
      </c>
      <c r="B41" s="330">
        <f>B39-B40</f>
        <v>261</v>
      </c>
      <c r="C41" s="8"/>
      <c r="E41" s="70"/>
      <c r="F41" s="6"/>
      <c r="G41" s="7"/>
    </row>
    <row r="42" spans="1:7">
      <c r="A42" s="331"/>
      <c r="B42" s="279"/>
      <c r="C42" s="8"/>
      <c r="E42" s="70"/>
      <c r="F42" s="6"/>
      <c r="G42" s="7"/>
    </row>
    <row r="43" spans="1:7">
      <c r="A43" s="327" t="s">
        <v>251</v>
      </c>
      <c r="B43" s="332"/>
      <c r="C43" s="8"/>
      <c r="E43" s="70"/>
      <c r="F43" s="6"/>
      <c r="G43" s="7"/>
    </row>
    <row r="44" spans="1:7">
      <c r="A44" s="327" t="s">
        <v>252</v>
      </c>
      <c r="B44" s="332"/>
      <c r="C44" s="8"/>
      <c r="E44" s="70"/>
      <c r="F44" s="6"/>
      <c r="G44" s="7"/>
    </row>
    <row r="45" spans="1:7">
      <c r="A45" s="327" t="s">
        <v>253</v>
      </c>
      <c r="B45" s="332"/>
      <c r="C45" s="8"/>
      <c r="E45" s="70"/>
      <c r="F45" s="6"/>
      <c r="G45" s="7"/>
    </row>
    <row r="46" spans="1:7">
      <c r="A46" s="327" t="s">
        <v>254</v>
      </c>
      <c r="B46" s="332"/>
      <c r="C46" s="8"/>
      <c r="E46" s="70"/>
      <c r="F46" s="6"/>
      <c r="G46" s="7"/>
    </row>
    <row r="47" spans="1:7">
      <c r="A47" s="329" t="s">
        <v>255</v>
      </c>
      <c r="B47" s="330">
        <f>B41-SUM(B43:B46)</f>
        <v>261</v>
      </c>
      <c r="C47" s="8"/>
      <c r="E47" s="70"/>
      <c r="F47" s="6"/>
      <c r="G47" s="7"/>
    </row>
    <row r="48" spans="1:7">
      <c r="A48" s="333"/>
      <c r="B48" s="279"/>
      <c r="C48" s="8"/>
      <c r="E48" s="70"/>
      <c r="F48" s="6"/>
      <c r="G48" s="7"/>
    </row>
    <row r="49" spans="1:7">
      <c r="A49" s="334" t="s">
        <v>256</v>
      </c>
      <c r="B49" s="335">
        <f>IF(B43=0,0,B43/$B$47)</f>
        <v>0</v>
      </c>
      <c r="C49" s="8"/>
      <c r="E49" s="70"/>
      <c r="F49" s="6"/>
      <c r="G49" s="7"/>
    </row>
    <row r="50" spans="1:7">
      <c r="A50" s="334" t="s">
        <v>252</v>
      </c>
      <c r="B50" s="335">
        <f>IF(B44=0,0,B44/$B$47)</f>
        <v>0</v>
      </c>
      <c r="C50" s="8"/>
      <c r="E50" s="70"/>
      <c r="F50" s="6"/>
      <c r="G50" s="7"/>
    </row>
    <row r="51" spans="1:7">
      <c r="A51" s="327" t="s">
        <v>253</v>
      </c>
      <c r="B51" s="335">
        <f>IF(B45=0,0,B45/$B$47)</f>
        <v>0</v>
      </c>
      <c r="C51" s="8"/>
      <c r="E51" s="70"/>
      <c r="F51" s="6"/>
      <c r="G51" s="7"/>
    </row>
    <row r="52" spans="1:7">
      <c r="A52" s="334" t="s">
        <v>254</v>
      </c>
      <c r="B52" s="335">
        <f>IF(B46=0,0,B46/$B$47)</f>
        <v>0</v>
      </c>
      <c r="C52" s="8"/>
      <c r="E52" s="70"/>
      <c r="F52" s="6"/>
      <c r="G52" s="12"/>
    </row>
    <row r="53" spans="1:7">
      <c r="A53" s="329" t="s">
        <v>257</v>
      </c>
      <c r="B53" s="336">
        <f>SUM(B49:B52)</f>
        <v>0</v>
      </c>
      <c r="C53" s="8"/>
      <c r="E53" s="70"/>
      <c r="F53" s="6"/>
      <c r="G53" s="13"/>
    </row>
    <row r="54" spans="1:7">
      <c r="A54" s="14"/>
      <c r="B54" s="14"/>
      <c r="C54" s="14"/>
      <c r="E54" s="70"/>
      <c r="F54" s="6"/>
      <c r="G54" s="2"/>
    </row>
    <row r="55" spans="1:7" ht="31.2" customHeight="1">
      <c r="A55" s="450" t="s">
        <v>258</v>
      </c>
      <c r="B55" s="451"/>
      <c r="C55" s="452"/>
      <c r="E55" s="70"/>
      <c r="F55" s="6"/>
      <c r="G55" s="2"/>
    </row>
    <row r="58" spans="1:7" ht="13.8">
      <c r="A58" s="72"/>
      <c r="B58" s="1"/>
    </row>
    <row r="59" spans="1:7" ht="13.8">
      <c r="A59" s="72"/>
      <c r="B59" s="1"/>
    </row>
    <row r="60" spans="1:7" ht="13.8">
      <c r="A60" s="72"/>
      <c r="B60" s="1"/>
    </row>
    <row r="61" spans="1:7" ht="13.8">
      <c r="A61" s="72"/>
      <c r="B61" s="1"/>
    </row>
    <row r="62" spans="1:7" ht="13.8">
      <c r="A62" s="73"/>
      <c r="B62" s="1"/>
    </row>
    <row r="63" spans="1:7" ht="13.8">
      <c r="A63" s="1"/>
      <c r="B63" s="1"/>
    </row>
    <row r="64" spans="1:7" ht="13.8">
      <c r="A64" s="1"/>
      <c r="B64" s="1"/>
    </row>
    <row r="65" spans="1:3" ht="13.8">
      <c r="A65" s="1"/>
      <c r="B65" s="1"/>
    </row>
    <row r="66" spans="1:3" ht="13.8">
      <c r="A66" s="1"/>
      <c r="B66" s="1"/>
    </row>
    <row r="67" spans="1:3" ht="13.8">
      <c r="A67" s="1"/>
      <c r="B67" s="1"/>
    </row>
    <row r="68" spans="1:3" ht="13.8">
      <c r="A68" s="1"/>
      <c r="B68" s="1"/>
    </row>
    <row r="69" spans="1:3" ht="13.8">
      <c r="A69" s="1"/>
      <c r="B69" s="1"/>
    </row>
    <row r="70" spans="1:3" ht="13.8">
      <c r="A70" s="1"/>
      <c r="B70" s="74"/>
    </row>
    <row r="71" spans="1:3" ht="13.8">
      <c r="A71" s="1"/>
      <c r="B71" s="1"/>
    </row>
    <row r="72" spans="1:3" ht="13.8">
      <c r="B72" s="1"/>
    </row>
    <row r="73" spans="1:3" ht="13.8">
      <c r="A73" s="1"/>
      <c r="B73" s="1"/>
      <c r="C73" s="1"/>
    </row>
    <row r="74" spans="1:3" ht="13.8">
      <c r="A74" s="75"/>
      <c r="B74" s="1"/>
      <c r="C74" s="75"/>
    </row>
    <row r="75" spans="1:3" ht="13.8">
      <c r="A75" s="1"/>
      <c r="B75" s="1"/>
      <c r="C75" s="1"/>
    </row>
    <row r="76" spans="1:3" ht="13.8">
      <c r="A76" s="1"/>
      <c r="B76" s="1"/>
      <c r="C76" s="1"/>
    </row>
    <row r="77" spans="1:3" ht="13.8">
      <c r="A77" s="1"/>
      <c r="B77" s="1"/>
      <c r="C77" s="1"/>
    </row>
    <row r="78" spans="1:3" ht="13.8">
      <c r="A78" s="75"/>
      <c r="B78" s="1"/>
      <c r="C78" s="75"/>
    </row>
    <row r="79" spans="1:3" ht="13.8">
      <c r="A79" s="75"/>
      <c r="B79" s="1"/>
      <c r="C79" s="75"/>
    </row>
    <row r="80" spans="1:3" ht="13.8">
      <c r="A80" s="75"/>
      <c r="B80" s="1"/>
      <c r="C80" s="75"/>
    </row>
    <row r="81" spans="1:2" ht="13.8">
      <c r="A81" s="1"/>
      <c r="B81" s="1"/>
    </row>
    <row r="82" spans="1:2" ht="13.8">
      <c r="A82" s="1"/>
      <c r="B82" s="1"/>
    </row>
    <row r="83" spans="1:2" ht="13.8">
      <c r="A83" s="1"/>
      <c r="B83" s="1"/>
    </row>
  </sheetData>
  <dataConsolidate/>
  <mergeCells count="7">
    <mergeCell ref="A55:C55"/>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72"/>
  <sheetViews>
    <sheetView showGridLines="0" showZeros="0" showOutlineSymbols="0" zoomScale="90" zoomScaleNormal="90" zoomScalePageLayoutView="50" workbookViewId="0">
      <pane ySplit="10" topLeftCell="A11" activePane="bottomLeft" state="frozen"/>
      <selection activeCell="B1" sqref="B1"/>
      <selection pane="bottomLeft" activeCell="E53" sqref="E53"/>
    </sheetView>
  </sheetViews>
  <sheetFormatPr defaultColWidth="11.44140625" defaultRowHeight="13.2"/>
  <cols>
    <col min="1" max="1" width="35.88671875" style="3" customWidth="1"/>
    <col min="2" max="2" width="21.66406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5546875" style="3" customWidth="1"/>
    <col min="9" max="16384" width="11.44140625" style="3"/>
  </cols>
  <sheetData>
    <row r="1" spans="1:15" ht="12.75" customHeight="1">
      <c r="A1" s="303" t="s">
        <v>4</v>
      </c>
      <c r="B1" s="58"/>
      <c r="C1" s="2"/>
      <c r="D1" s="2"/>
      <c r="E1" s="2"/>
      <c r="F1" s="2"/>
      <c r="H1" s="460"/>
      <c r="I1" s="460"/>
      <c r="J1" s="460"/>
      <c r="K1" s="460"/>
      <c r="L1" s="460"/>
      <c r="M1" s="460"/>
      <c r="N1" s="460"/>
    </row>
    <row r="2" spans="1:15">
      <c r="A2" s="76"/>
      <c r="B2" s="77"/>
      <c r="C2" s="78"/>
      <c r="D2" s="77"/>
      <c r="E2" s="79"/>
      <c r="F2" s="80"/>
      <c r="H2" s="460"/>
      <c r="I2" s="460"/>
      <c r="J2" s="460"/>
      <c r="K2" s="460"/>
      <c r="L2" s="460"/>
      <c r="M2" s="460"/>
      <c r="N2" s="460"/>
    </row>
    <row r="3" spans="1:15" ht="14.25" customHeight="1">
      <c r="A3" s="102" t="str">
        <f>'2-Kosten per locatie'!A3</f>
        <v>Naam opdrachtgever</v>
      </c>
      <c r="B3" s="103" t="str">
        <f>'2-Kosten per locatie'!B3</f>
        <v>Basis calculatiemodel</v>
      </c>
      <c r="C3" s="104"/>
      <c r="D3" s="77"/>
      <c r="E3" s="169"/>
      <c r="F3" s="82"/>
      <c r="H3" s="460"/>
      <c r="I3" s="460"/>
      <c r="J3" s="460"/>
      <c r="K3" s="460"/>
      <c r="L3" s="460"/>
      <c r="M3" s="460"/>
      <c r="N3" s="460"/>
    </row>
    <row r="4" spans="1:15" ht="15.75" customHeight="1">
      <c r="A4" s="102" t="str">
        <f>'2-Kosten per locatie'!A4</f>
        <v>Calculatie onderdeel</v>
      </c>
      <c r="B4" s="105" t="str">
        <f ca="1">MID(CELL("bestandsnaam",$C$9),SEARCH("]",CELL("bestandsnaam",$C$9),1)+1,256)</f>
        <v>6-Opbouw uurtarief productie</v>
      </c>
      <c r="C4" s="106"/>
      <c r="D4" s="85"/>
      <c r="H4" s="460"/>
      <c r="I4" s="460"/>
      <c r="J4" s="460"/>
      <c r="K4" s="460"/>
      <c r="L4" s="460"/>
      <c r="M4" s="460"/>
      <c r="N4" s="460"/>
    </row>
    <row r="5" spans="1:15" ht="15">
      <c r="A5" s="102" t="str">
        <f>'2-Kosten per locatie'!A5</f>
        <v>Gebouw/plaats</v>
      </c>
      <c r="B5" s="103" t="str">
        <f>'2-Kosten per locatie'!B5</f>
        <v>Sliedrecht</v>
      </c>
      <c r="C5" s="106"/>
      <c r="D5" s="85"/>
      <c r="H5" s="460"/>
      <c r="I5" s="460"/>
      <c r="J5" s="460"/>
      <c r="K5" s="460"/>
      <c r="L5" s="460"/>
      <c r="M5" s="460"/>
      <c r="N5" s="460"/>
    </row>
    <row r="6" spans="1:15" ht="15">
      <c r="A6" s="102" t="str">
        <f>'2-Kosten per locatie'!A6</f>
        <v>Referentie nummer</v>
      </c>
      <c r="B6" s="103" t="str">
        <f>'2-Kosten per locatie'!B6</f>
        <v>GS-EA-MVD-SW-2023</v>
      </c>
      <c r="C6" s="106"/>
      <c r="D6" s="85"/>
      <c r="H6" s="86"/>
      <c r="I6" s="86"/>
      <c r="J6" s="86"/>
      <c r="K6" s="86"/>
      <c r="L6" s="86"/>
      <c r="M6" s="86"/>
      <c r="N6" s="86"/>
    </row>
    <row r="7" spans="1:15" ht="15">
      <c r="A7" s="102" t="str">
        <f>'2-Kosten per locatie'!A7</f>
        <v>Naam dienstverlener</v>
      </c>
      <c r="B7" s="103" t="str">
        <f>'2-Kosten per locatie'!B7</f>
        <v>Gemeente Sliedrecht</v>
      </c>
      <c r="C7" s="106"/>
      <c r="D7" s="85"/>
      <c r="H7" s="86"/>
      <c r="I7" s="86"/>
      <c r="J7" s="86"/>
      <c r="K7" s="86"/>
      <c r="L7" s="86"/>
      <c r="M7" s="86"/>
      <c r="N7" s="86"/>
    </row>
    <row r="8" spans="1:15" ht="15">
      <c r="A8" s="102" t="str">
        <f>'2-Kosten per locatie'!A8</f>
        <v>Prijspeil</v>
      </c>
      <c r="B8" s="243">
        <f>'2-Kosten per locatie'!B8</f>
        <v>45474</v>
      </c>
      <c r="C8" s="106"/>
      <c r="D8" s="85"/>
      <c r="J8" s="86"/>
      <c r="K8" s="86"/>
      <c r="L8" s="86"/>
      <c r="M8" s="86"/>
      <c r="N8" s="86"/>
      <c r="O8" s="89"/>
    </row>
    <row r="9" spans="1:15" ht="15">
      <c r="A9" s="81"/>
      <c r="B9" s="83"/>
      <c r="C9" s="84"/>
      <c r="D9" s="85"/>
      <c r="E9" s="170"/>
      <c r="F9" s="87"/>
    </row>
    <row r="10" spans="1:15" s="89" customFormat="1" ht="30.75" customHeight="1">
      <c r="A10" s="337" t="s">
        <v>259</v>
      </c>
      <c r="B10" s="338"/>
      <c r="C10" s="339"/>
      <c r="D10" s="88"/>
      <c r="E10" s="458" t="s">
        <v>260</v>
      </c>
      <c r="F10" s="459"/>
      <c r="H10" s="148" t="s">
        <v>261</v>
      </c>
      <c r="I10" s="457" t="s">
        <v>393</v>
      </c>
      <c r="J10" s="457"/>
      <c r="K10" s="457"/>
      <c r="L10" s="457"/>
      <c r="M10" s="457"/>
      <c r="N10" s="457"/>
    </row>
    <row r="11" spans="1:15" ht="30" customHeight="1">
      <c r="A11" s="149"/>
      <c r="B11" s="340" t="s">
        <v>262</v>
      </c>
      <c r="C11" s="341" t="s">
        <v>262</v>
      </c>
      <c r="D11" s="85"/>
      <c r="E11" s="171"/>
      <c r="F11" s="342"/>
      <c r="H11" s="149"/>
      <c r="I11" s="150">
        <v>1</v>
      </c>
      <c r="J11" s="150">
        <v>2</v>
      </c>
      <c r="K11" s="150">
        <v>3</v>
      </c>
      <c r="L11" s="150">
        <v>4</v>
      </c>
      <c r="M11" s="150">
        <v>5</v>
      </c>
      <c r="N11" s="150">
        <v>6</v>
      </c>
    </row>
    <row r="12" spans="1:15">
      <c r="A12" s="149" t="s">
        <v>263</v>
      </c>
      <c r="B12" s="343" t="s">
        <v>264</v>
      </c>
      <c r="C12" s="344"/>
      <c r="D12" s="85"/>
      <c r="E12" s="172">
        <f>SUM(I40:N40)</f>
        <v>0</v>
      </c>
      <c r="F12" s="90"/>
      <c r="H12" s="149" t="s">
        <v>265</v>
      </c>
      <c r="I12" s="246"/>
      <c r="J12" s="246"/>
      <c r="K12" s="246"/>
      <c r="L12" s="246"/>
      <c r="M12" s="246"/>
      <c r="N12" s="246"/>
    </row>
    <row r="13" spans="1:15" ht="13.8">
      <c r="A13" s="149" t="s">
        <v>266</v>
      </c>
      <c r="B13" s="343" t="s">
        <v>264</v>
      </c>
      <c r="C13" s="345"/>
      <c r="D13" s="85"/>
      <c r="E13" s="173">
        <v>0</v>
      </c>
      <c r="F13" s="90"/>
      <c r="H13" s="149" t="s">
        <v>267</v>
      </c>
      <c r="I13" s="246"/>
      <c r="J13" s="246"/>
      <c r="K13" s="246"/>
      <c r="L13" s="246"/>
      <c r="M13" s="246"/>
      <c r="N13" s="246"/>
    </row>
    <row r="14" spans="1:15" ht="13.8">
      <c r="A14" s="247" t="s">
        <v>268</v>
      </c>
      <c r="B14" s="343" t="s">
        <v>264</v>
      </c>
      <c r="C14" s="248"/>
      <c r="D14" s="85"/>
      <c r="E14" s="173">
        <v>0</v>
      </c>
      <c r="F14" s="90"/>
      <c r="H14" s="149" t="s">
        <v>269</v>
      </c>
      <c r="I14" s="246"/>
      <c r="J14" s="246"/>
      <c r="K14" s="246"/>
      <c r="L14" s="246"/>
      <c r="M14" s="246"/>
      <c r="N14" s="246"/>
    </row>
    <row r="15" spans="1:15" ht="13.8">
      <c r="A15" s="346" t="s">
        <v>270</v>
      </c>
      <c r="B15" s="347"/>
      <c r="C15" s="348"/>
      <c r="D15" s="137"/>
      <c r="E15" s="174">
        <f>SUM(E12:E14)</f>
        <v>0</v>
      </c>
      <c r="F15" s="90"/>
      <c r="H15" s="149" t="s">
        <v>271</v>
      </c>
      <c r="I15" s="246"/>
      <c r="J15" s="246"/>
      <c r="K15" s="246"/>
      <c r="L15" s="246"/>
      <c r="M15" s="246"/>
      <c r="N15" s="246"/>
    </row>
    <row r="16" spans="1:15" ht="13.8">
      <c r="A16" s="247"/>
      <c r="B16" s="349"/>
      <c r="C16" s="350"/>
      <c r="D16" s="85"/>
      <c r="E16" s="175"/>
      <c r="F16" s="90"/>
      <c r="H16" s="149" t="s">
        <v>273</v>
      </c>
      <c r="I16" s="246"/>
      <c r="J16" s="246"/>
      <c r="K16" s="246"/>
      <c r="L16" s="246"/>
      <c r="M16" s="246"/>
      <c r="N16" s="246"/>
    </row>
    <row r="17" spans="1:15" ht="13.8">
      <c r="A17" s="351" t="s">
        <v>272</v>
      </c>
      <c r="B17" s="343" t="s">
        <v>264</v>
      </c>
      <c r="C17" s="352">
        <v>0</v>
      </c>
      <c r="D17" s="85"/>
      <c r="E17" s="176">
        <f>$C17*E15</f>
        <v>0</v>
      </c>
      <c r="F17" s="90"/>
      <c r="H17" s="149" t="s">
        <v>275</v>
      </c>
      <c r="I17" s="246"/>
      <c r="J17" s="246"/>
      <c r="K17" s="246"/>
      <c r="L17" s="246"/>
      <c r="M17" s="246"/>
      <c r="N17" s="246"/>
    </row>
    <row r="18" spans="1:15" ht="13.8">
      <c r="A18" s="351" t="s">
        <v>274</v>
      </c>
      <c r="B18" s="343" t="s">
        <v>264</v>
      </c>
      <c r="C18" s="352">
        <v>0</v>
      </c>
      <c r="D18" s="85"/>
      <c r="E18" s="177">
        <f>$C18*E15</f>
        <v>0</v>
      </c>
      <c r="F18" s="90"/>
      <c r="H18" s="149" t="s">
        <v>277</v>
      </c>
      <c r="I18" s="246"/>
      <c r="J18" s="246"/>
      <c r="K18" s="246"/>
      <c r="L18" s="246"/>
      <c r="M18" s="246"/>
      <c r="N18" s="246"/>
    </row>
    <row r="19" spans="1:15" ht="13.8">
      <c r="A19" s="346" t="s">
        <v>276</v>
      </c>
      <c r="B19" s="353"/>
      <c r="C19" s="248"/>
      <c r="D19" s="85"/>
      <c r="E19" s="174">
        <f>SUM(E15:E18)</f>
        <v>0</v>
      </c>
      <c r="F19" s="354">
        <f>IF(E19=0,0,E19/E$47)</f>
        <v>0</v>
      </c>
    </row>
    <row r="20" spans="1:15" ht="13.8">
      <c r="A20" s="247"/>
      <c r="B20" s="349"/>
      <c r="C20" s="350"/>
      <c r="D20" s="85"/>
      <c r="E20" s="175"/>
      <c r="F20" s="90"/>
      <c r="H20" s="148" t="s">
        <v>261</v>
      </c>
      <c r="I20" s="461" t="s">
        <v>279</v>
      </c>
      <c r="J20" s="462"/>
      <c r="K20" s="462"/>
      <c r="L20" s="462"/>
      <c r="M20" s="462"/>
      <c r="N20" s="463"/>
    </row>
    <row r="21" spans="1:15" ht="13.8">
      <c r="A21" s="355" t="s">
        <v>278</v>
      </c>
      <c r="B21" s="356"/>
      <c r="C21" s="350"/>
      <c r="D21" s="91"/>
      <c r="E21" s="178">
        <f>E19*0.96</f>
        <v>0</v>
      </c>
      <c r="F21" s="92"/>
      <c r="G21" s="46"/>
      <c r="H21" s="149"/>
      <c r="I21" s="150">
        <v>1</v>
      </c>
      <c r="J21" s="150">
        <v>2</v>
      </c>
      <c r="K21" s="150">
        <v>3</v>
      </c>
      <c r="L21" s="150">
        <v>4</v>
      </c>
      <c r="M21" s="150">
        <v>5</v>
      </c>
      <c r="N21" s="150">
        <v>6</v>
      </c>
      <c r="O21" s="46"/>
    </row>
    <row r="22" spans="1:15" s="46" customFormat="1" ht="13.8">
      <c r="A22" s="351" t="s">
        <v>280</v>
      </c>
      <c r="B22" s="356"/>
      <c r="C22" s="357" t="s">
        <v>281</v>
      </c>
      <c r="D22" s="85"/>
      <c r="E22" s="176" t="e">
        <f>E21*'5-Premies en opslagen'!$C24</f>
        <v>#DIV/0!</v>
      </c>
      <c r="F22" s="90"/>
      <c r="G22" s="3"/>
      <c r="H22" s="149" t="s">
        <v>265</v>
      </c>
      <c r="I22" s="359"/>
      <c r="J22" s="359"/>
      <c r="K22" s="359"/>
      <c r="L22" s="359"/>
      <c r="M22" s="359"/>
      <c r="N22" s="359"/>
      <c r="O22" s="3"/>
    </row>
    <row r="23" spans="1:15" ht="14.25" customHeight="1">
      <c r="A23" s="346" t="s">
        <v>282</v>
      </c>
      <c r="B23" s="358"/>
      <c r="C23" s="248"/>
      <c r="D23" s="85"/>
      <c r="E23" s="174" t="e">
        <f>E22+E19</f>
        <v>#DIV/0!</v>
      </c>
      <c r="F23" s="354" t="e">
        <f>IF(E23=0,0,E23/E$47)</f>
        <v>#DIV/0!</v>
      </c>
      <c r="H23" s="149" t="s">
        <v>267</v>
      </c>
      <c r="I23" s="359"/>
      <c r="J23" s="359"/>
      <c r="K23" s="359"/>
      <c r="L23" s="359"/>
      <c r="M23" s="359"/>
      <c r="N23" s="359"/>
    </row>
    <row r="24" spans="1:15" ht="12.75" customHeight="1">
      <c r="A24" s="247"/>
      <c r="B24" s="353"/>
      <c r="C24" s="248"/>
      <c r="D24" s="85"/>
      <c r="E24" s="171"/>
      <c r="F24" s="90"/>
      <c r="H24" s="149" t="s">
        <v>269</v>
      </c>
      <c r="I24" s="359"/>
      <c r="J24" s="359"/>
      <c r="K24" s="359"/>
      <c r="L24" s="359"/>
      <c r="M24" s="359"/>
      <c r="N24" s="359"/>
    </row>
    <row r="25" spans="1:15" ht="12.75" customHeight="1">
      <c r="A25" s="351" t="s">
        <v>283</v>
      </c>
      <c r="B25" s="356"/>
      <c r="C25" s="357" t="s">
        <v>281</v>
      </c>
      <c r="D25" s="85"/>
      <c r="E25" s="176" t="e">
        <f>E23*'5-Premies en opslagen'!$B53</f>
        <v>#DIV/0!</v>
      </c>
      <c r="F25" s="90"/>
      <c r="H25" s="149" t="s">
        <v>271</v>
      </c>
      <c r="I25" s="359"/>
      <c r="J25" s="359"/>
      <c r="K25" s="359"/>
      <c r="L25" s="359"/>
      <c r="M25" s="359"/>
      <c r="N25" s="359"/>
    </row>
    <row r="26" spans="1:15" ht="13.8">
      <c r="A26" s="346" t="s">
        <v>284</v>
      </c>
      <c r="B26" s="353"/>
      <c r="C26" s="248"/>
      <c r="D26" s="85"/>
      <c r="E26" s="174" t="e">
        <f>SUM(E23:E25)</f>
        <v>#DIV/0!</v>
      </c>
      <c r="F26" s="354" t="e">
        <f>IF(E26=0,0,E26/E$47)</f>
        <v>#DIV/0!</v>
      </c>
      <c r="H26" s="149" t="s">
        <v>273</v>
      </c>
      <c r="I26" s="359"/>
      <c r="J26" s="359"/>
      <c r="K26" s="359"/>
      <c r="L26" s="359"/>
      <c r="M26" s="359"/>
      <c r="N26" s="359"/>
    </row>
    <row r="27" spans="1:15" ht="13.8">
      <c r="A27" s="247"/>
      <c r="B27" s="353"/>
      <c r="C27" s="248"/>
      <c r="D27" s="85"/>
      <c r="E27" s="171"/>
      <c r="F27" s="90"/>
      <c r="H27" s="149" t="s">
        <v>275</v>
      </c>
      <c r="I27" s="359"/>
      <c r="J27" s="359"/>
      <c r="K27" s="359"/>
      <c r="L27" s="359"/>
      <c r="M27" s="359"/>
      <c r="N27" s="359"/>
    </row>
    <row r="28" spans="1:15" ht="13.8">
      <c r="A28" s="247" t="s">
        <v>285</v>
      </c>
      <c r="B28" s="360"/>
      <c r="C28" s="345" t="s">
        <v>286</v>
      </c>
      <c r="D28" s="85"/>
      <c r="E28" s="173">
        <v>0</v>
      </c>
      <c r="F28" s="90">
        <v>0</v>
      </c>
      <c r="H28" s="149" t="s">
        <v>277</v>
      </c>
      <c r="I28" s="359"/>
      <c r="J28" s="359"/>
      <c r="K28" s="359"/>
      <c r="L28" s="359"/>
      <c r="M28" s="359"/>
      <c r="N28" s="359"/>
    </row>
    <row r="29" spans="1:15" ht="13.8">
      <c r="A29" s="247" t="s">
        <v>287</v>
      </c>
      <c r="B29" s="361"/>
      <c r="C29" s="345" t="s">
        <v>286</v>
      </c>
      <c r="D29" s="85"/>
      <c r="E29" s="173">
        <v>0</v>
      </c>
      <c r="F29" s="90">
        <v>0</v>
      </c>
      <c r="H29" s="153" t="s">
        <v>289</v>
      </c>
      <c r="I29" s="365">
        <f t="shared" ref="I29:N29" si="0">SUM(I22:I28)</f>
        <v>0</v>
      </c>
      <c r="J29" s="365">
        <f t="shared" si="0"/>
        <v>0</v>
      </c>
      <c r="K29" s="365">
        <f t="shared" si="0"/>
        <v>0</v>
      </c>
      <c r="L29" s="365">
        <f t="shared" si="0"/>
        <v>0</v>
      </c>
      <c r="M29" s="365">
        <f t="shared" si="0"/>
        <v>0</v>
      </c>
      <c r="N29" s="365">
        <f t="shared" si="0"/>
        <v>0</v>
      </c>
    </row>
    <row r="30" spans="1:15" ht="13.8">
      <c r="A30" s="247" t="s">
        <v>288</v>
      </c>
      <c r="B30" s="353"/>
      <c r="C30" s="248" t="s">
        <v>262</v>
      </c>
      <c r="D30" s="85"/>
      <c r="E30" s="173">
        <v>0</v>
      </c>
      <c r="F30" s="90"/>
      <c r="H30" s="46"/>
      <c r="I30" s="46"/>
      <c r="J30" s="46"/>
      <c r="K30" s="46"/>
      <c r="L30" s="46"/>
      <c r="M30" s="46"/>
      <c r="N30" s="46"/>
      <c r="O30" s="366">
        <f>SUM(I29:N29)</f>
        <v>0</v>
      </c>
    </row>
    <row r="31" spans="1:15" ht="12.75" customHeight="1">
      <c r="A31" s="362"/>
      <c r="B31" s="363"/>
      <c r="C31" s="364" t="s">
        <v>262</v>
      </c>
      <c r="D31" s="85"/>
      <c r="E31" s="173">
        <v>0</v>
      </c>
      <c r="F31" s="90"/>
      <c r="H31" s="148" t="s">
        <v>261</v>
      </c>
      <c r="I31" s="457" t="s">
        <v>291</v>
      </c>
      <c r="J31" s="457"/>
      <c r="K31" s="457"/>
      <c r="L31" s="457"/>
      <c r="M31" s="457"/>
      <c r="N31" s="457"/>
    </row>
    <row r="32" spans="1:15" ht="12.75" customHeight="1">
      <c r="A32" s="346" t="s">
        <v>290</v>
      </c>
      <c r="B32" s="353"/>
      <c r="C32" s="248"/>
      <c r="D32" s="85"/>
      <c r="E32" s="174" t="e">
        <f>SUM(E26:E31)</f>
        <v>#DIV/0!</v>
      </c>
      <c r="F32" s="354" t="e">
        <f>IF(E32=0,0,E32/E$47)</f>
        <v>#DIV/0!</v>
      </c>
      <c r="H32" s="149"/>
      <c r="I32" s="150">
        <v>1</v>
      </c>
      <c r="J32" s="150">
        <v>2</v>
      </c>
      <c r="K32" s="150">
        <v>3</v>
      </c>
      <c r="L32" s="150">
        <v>4</v>
      </c>
      <c r="M32" s="150">
        <v>5</v>
      </c>
      <c r="N32" s="150">
        <v>6</v>
      </c>
    </row>
    <row r="33" spans="1:15" ht="12.75" customHeight="1">
      <c r="A33" s="247"/>
      <c r="B33" s="353"/>
      <c r="C33" s="248"/>
      <c r="D33" s="85"/>
      <c r="E33" s="171"/>
      <c r="F33" s="90"/>
      <c r="H33" s="149" t="s">
        <v>265</v>
      </c>
      <c r="I33" s="151">
        <f t="shared" ref="I33:N39" si="1">I22*I12</f>
        <v>0</v>
      </c>
      <c r="J33" s="151">
        <f t="shared" si="1"/>
        <v>0</v>
      </c>
      <c r="K33" s="151">
        <f t="shared" si="1"/>
        <v>0</v>
      </c>
      <c r="L33" s="151">
        <f t="shared" si="1"/>
        <v>0</v>
      </c>
      <c r="M33" s="151">
        <f t="shared" si="1"/>
        <v>0</v>
      </c>
      <c r="N33" s="152">
        <f t="shared" si="1"/>
        <v>0</v>
      </c>
    </row>
    <row r="34" spans="1:15" ht="12.75" customHeight="1">
      <c r="A34" s="247" t="s">
        <v>292</v>
      </c>
      <c r="B34" s="353"/>
      <c r="C34" s="367"/>
      <c r="D34" s="85"/>
      <c r="E34" s="173">
        <v>0</v>
      </c>
      <c r="F34" s="165" t="e">
        <f t="shared" ref="F34:F42" si="2">E34/$E$47</f>
        <v>#DIV/0!</v>
      </c>
      <c r="H34" s="149" t="s">
        <v>267</v>
      </c>
      <c r="I34" s="151">
        <f t="shared" si="1"/>
        <v>0</v>
      </c>
      <c r="J34" s="151">
        <f t="shared" si="1"/>
        <v>0</v>
      </c>
      <c r="K34" s="151">
        <f t="shared" si="1"/>
        <v>0</v>
      </c>
      <c r="L34" s="151">
        <f t="shared" si="1"/>
        <v>0</v>
      </c>
      <c r="M34" s="151">
        <f t="shared" si="1"/>
        <v>0</v>
      </c>
      <c r="N34" s="152">
        <f t="shared" si="1"/>
        <v>0</v>
      </c>
    </row>
    <row r="35" spans="1:15" ht="12.75" customHeight="1">
      <c r="A35" s="247" t="s">
        <v>293</v>
      </c>
      <c r="B35" s="353"/>
      <c r="C35" s="367"/>
      <c r="D35" s="85"/>
      <c r="E35" s="173">
        <v>0</v>
      </c>
      <c r="F35" s="165" t="e">
        <f t="shared" si="2"/>
        <v>#DIV/0!</v>
      </c>
      <c r="H35" s="149" t="s">
        <v>269</v>
      </c>
      <c r="I35" s="151">
        <f t="shared" si="1"/>
        <v>0</v>
      </c>
      <c r="J35" s="151">
        <f t="shared" si="1"/>
        <v>0</v>
      </c>
      <c r="K35" s="151">
        <f t="shared" si="1"/>
        <v>0</v>
      </c>
      <c r="L35" s="151">
        <f t="shared" si="1"/>
        <v>0</v>
      </c>
      <c r="M35" s="151">
        <f t="shared" si="1"/>
        <v>0</v>
      </c>
      <c r="N35" s="152">
        <f t="shared" si="1"/>
        <v>0</v>
      </c>
    </row>
    <row r="36" spans="1:15" ht="14.25" customHeight="1">
      <c r="A36" s="247" t="s">
        <v>294</v>
      </c>
      <c r="B36" s="353"/>
      <c r="C36" s="367"/>
      <c r="D36" s="85"/>
      <c r="E36" s="173">
        <v>0</v>
      </c>
      <c r="F36" s="165" t="e">
        <f t="shared" si="2"/>
        <v>#DIV/0!</v>
      </c>
      <c r="H36" s="149" t="s">
        <v>271</v>
      </c>
      <c r="I36" s="151">
        <f t="shared" si="1"/>
        <v>0</v>
      </c>
      <c r="J36" s="151">
        <f t="shared" si="1"/>
        <v>0</v>
      </c>
      <c r="K36" s="151">
        <f t="shared" si="1"/>
        <v>0</v>
      </c>
      <c r="L36" s="151">
        <f t="shared" si="1"/>
        <v>0</v>
      </c>
      <c r="M36" s="151">
        <f t="shared" si="1"/>
        <v>0</v>
      </c>
      <c r="N36" s="152">
        <f t="shared" si="1"/>
        <v>0</v>
      </c>
      <c r="O36" s="46"/>
    </row>
    <row r="37" spans="1:15" ht="13.8">
      <c r="A37" s="247" t="s">
        <v>295</v>
      </c>
      <c r="B37" s="353"/>
      <c r="C37" s="368"/>
      <c r="D37" s="85"/>
      <c r="E37" s="173">
        <v>0</v>
      </c>
      <c r="F37" s="165" t="e">
        <f t="shared" si="2"/>
        <v>#DIV/0!</v>
      </c>
      <c r="H37" s="149" t="s">
        <v>273</v>
      </c>
      <c r="I37" s="151">
        <f t="shared" si="1"/>
        <v>0</v>
      </c>
      <c r="J37" s="151">
        <f t="shared" si="1"/>
        <v>0</v>
      </c>
      <c r="K37" s="151">
        <f t="shared" si="1"/>
        <v>0</v>
      </c>
      <c r="L37" s="151">
        <f t="shared" si="1"/>
        <v>0</v>
      </c>
      <c r="M37" s="151">
        <f t="shared" si="1"/>
        <v>0</v>
      </c>
      <c r="N37" s="152">
        <f t="shared" si="1"/>
        <v>0</v>
      </c>
      <c r="O37" s="46"/>
    </row>
    <row r="38" spans="1:15" ht="13.8">
      <c r="A38" s="247" t="s">
        <v>296</v>
      </c>
      <c r="B38" s="353"/>
      <c r="C38" s="367"/>
      <c r="D38" s="85"/>
      <c r="E38" s="173">
        <v>0</v>
      </c>
      <c r="F38" s="165" t="e">
        <f t="shared" si="2"/>
        <v>#DIV/0!</v>
      </c>
      <c r="H38" s="149" t="s">
        <v>275</v>
      </c>
      <c r="I38" s="151">
        <f t="shared" si="1"/>
        <v>0</v>
      </c>
      <c r="J38" s="151">
        <f t="shared" si="1"/>
        <v>0</v>
      </c>
      <c r="K38" s="151">
        <f t="shared" si="1"/>
        <v>0</v>
      </c>
      <c r="L38" s="151">
        <f t="shared" si="1"/>
        <v>0</v>
      </c>
      <c r="M38" s="151">
        <f t="shared" si="1"/>
        <v>0</v>
      </c>
      <c r="N38" s="152">
        <f t="shared" si="1"/>
        <v>0</v>
      </c>
      <c r="O38" s="46"/>
    </row>
    <row r="39" spans="1:15" ht="13.8">
      <c r="A39" s="247" t="s">
        <v>297</v>
      </c>
      <c r="B39" s="353"/>
      <c r="C39" s="368"/>
      <c r="D39" s="85"/>
      <c r="E39" s="173">
        <v>0</v>
      </c>
      <c r="F39" s="165" t="e">
        <f t="shared" si="2"/>
        <v>#DIV/0!</v>
      </c>
      <c r="H39" s="149" t="s">
        <v>277</v>
      </c>
      <c r="I39" s="151">
        <f t="shared" si="1"/>
        <v>0</v>
      </c>
      <c r="J39" s="151">
        <f t="shared" si="1"/>
        <v>0</v>
      </c>
      <c r="K39" s="151">
        <f t="shared" si="1"/>
        <v>0</v>
      </c>
      <c r="L39" s="151">
        <f t="shared" si="1"/>
        <v>0</v>
      </c>
      <c r="M39" s="151">
        <f t="shared" si="1"/>
        <v>0</v>
      </c>
      <c r="N39" s="152">
        <f t="shared" si="1"/>
        <v>0</v>
      </c>
      <c r="O39" s="46"/>
    </row>
    <row r="40" spans="1:15" ht="13.8">
      <c r="A40" s="247" t="s">
        <v>298</v>
      </c>
      <c r="B40" s="353"/>
      <c r="C40" s="345" t="s">
        <v>286</v>
      </c>
      <c r="D40" s="85"/>
      <c r="E40" s="173">
        <v>0</v>
      </c>
      <c r="F40" s="165" t="e">
        <f t="shared" si="2"/>
        <v>#DIV/0!</v>
      </c>
      <c r="H40" s="153" t="s">
        <v>289</v>
      </c>
      <c r="I40" s="154">
        <f t="shared" ref="I40:N40" si="3">SUM(I33:I39)</f>
        <v>0</v>
      </c>
      <c r="J40" s="154">
        <f t="shared" si="3"/>
        <v>0</v>
      </c>
      <c r="K40" s="154">
        <f t="shared" si="3"/>
        <v>0</v>
      </c>
      <c r="L40" s="154">
        <f t="shared" si="3"/>
        <v>0</v>
      </c>
      <c r="M40" s="154">
        <f t="shared" si="3"/>
        <v>0</v>
      </c>
      <c r="N40" s="154">
        <f t="shared" si="3"/>
        <v>0</v>
      </c>
      <c r="O40" s="46"/>
    </row>
    <row r="41" spans="1:15" ht="13.8">
      <c r="A41" s="247" t="s">
        <v>299</v>
      </c>
      <c r="B41" s="353"/>
      <c r="C41" s="345"/>
      <c r="D41" s="85"/>
      <c r="E41" s="173">
        <v>0</v>
      </c>
      <c r="F41" s="165" t="e">
        <f t="shared" si="2"/>
        <v>#DIV/0!</v>
      </c>
      <c r="H41" s="46"/>
      <c r="I41" s="46"/>
      <c r="J41" s="46"/>
      <c r="K41" s="46"/>
      <c r="L41" s="46"/>
      <c r="M41" s="46"/>
      <c r="N41" s="46"/>
      <c r="O41" s="46"/>
    </row>
    <row r="42" spans="1:15" ht="13.8">
      <c r="A42" s="362"/>
      <c r="B42" s="363"/>
      <c r="C42" s="369"/>
      <c r="D42" s="85"/>
      <c r="E42" s="173">
        <v>0</v>
      </c>
      <c r="F42" s="90" t="e">
        <f t="shared" si="2"/>
        <v>#DIV/0!</v>
      </c>
      <c r="H42" s="46"/>
      <c r="I42" s="46"/>
      <c r="J42" s="46"/>
      <c r="K42" s="46"/>
      <c r="L42" s="46"/>
      <c r="M42" s="46"/>
      <c r="N42" s="46"/>
      <c r="O42" s="46"/>
    </row>
    <row r="43" spans="1:15" ht="34.200000000000003">
      <c r="A43" s="346" t="s">
        <v>300</v>
      </c>
      <c r="B43" s="353"/>
      <c r="C43" s="248"/>
      <c r="D43" s="85"/>
      <c r="E43" s="174" t="e">
        <f>SUM(E32:E42)</f>
        <v>#DIV/0!</v>
      </c>
      <c r="F43" s="354" t="e">
        <f>IF(E43=0,0,E43/E$47)</f>
        <v>#DIV/0!</v>
      </c>
      <c r="H43" s="337" t="s">
        <v>302</v>
      </c>
      <c r="I43" s="338"/>
      <c r="J43" s="339"/>
      <c r="K43" s="209" t="s">
        <v>260</v>
      </c>
      <c r="L43" s="46"/>
      <c r="M43" s="46"/>
      <c r="N43" s="46"/>
      <c r="O43" s="46"/>
    </row>
    <row r="44" spans="1:15" ht="13.8">
      <c r="A44" s="247"/>
      <c r="B44" s="353"/>
      <c r="C44" s="248"/>
      <c r="D44" s="85"/>
      <c r="E44" s="171"/>
      <c r="F44" s="93"/>
      <c r="H44" s="149"/>
      <c r="I44" s="340" t="s">
        <v>262</v>
      </c>
      <c r="J44" s="341" t="s">
        <v>262</v>
      </c>
      <c r="K44" s="171"/>
      <c r="L44" s="46"/>
      <c r="M44" s="46"/>
      <c r="N44" s="46"/>
      <c r="O44" s="46"/>
    </row>
    <row r="45" spans="1:15" ht="13.8">
      <c r="A45" s="247" t="s">
        <v>301</v>
      </c>
      <c r="B45" s="353"/>
      <c r="C45" s="368"/>
      <c r="D45" s="85"/>
      <c r="E45" s="173">
        <v>0</v>
      </c>
      <c r="F45" s="354">
        <f>(IF(E45=0,0,E45/E$47))</f>
        <v>0</v>
      </c>
      <c r="H45" s="206" t="s">
        <v>270</v>
      </c>
      <c r="I45" s="207"/>
      <c r="J45" s="208"/>
      <c r="K45" s="174">
        <f>E15</f>
        <v>0</v>
      </c>
      <c r="L45" s="46"/>
      <c r="M45" s="46"/>
      <c r="N45" s="46"/>
    </row>
    <row r="46" spans="1:15" ht="30" customHeight="1">
      <c r="A46" s="247"/>
      <c r="B46" s="370"/>
      <c r="C46" s="248"/>
      <c r="D46" s="85"/>
      <c r="E46" s="171"/>
      <c r="F46" s="90"/>
      <c r="H46" s="205" t="s">
        <v>272</v>
      </c>
      <c r="I46" s="203"/>
      <c r="J46" s="204"/>
      <c r="K46" s="176">
        <f>E17</f>
        <v>0</v>
      </c>
      <c r="L46" s="46"/>
      <c r="M46" s="46"/>
      <c r="N46" s="46"/>
    </row>
    <row r="47" spans="1:15" ht="13.8">
      <c r="A47" s="346" t="s">
        <v>303</v>
      </c>
      <c r="B47" s="371"/>
      <c r="C47" s="372"/>
      <c r="D47" s="85"/>
      <c r="E47" s="138" t="e">
        <f>SUM(E43:E46)</f>
        <v>#DIV/0!</v>
      </c>
      <c r="F47" s="139" t="e">
        <f>SUM(F43:F46)</f>
        <v>#DIV/0!</v>
      </c>
      <c r="H47" s="351" t="s">
        <v>274</v>
      </c>
      <c r="I47" s="203"/>
      <c r="J47" s="204"/>
      <c r="K47" s="177">
        <f>E18</f>
        <v>0</v>
      </c>
      <c r="L47" s="46"/>
      <c r="M47" s="46"/>
      <c r="N47" s="46"/>
    </row>
    <row r="48" spans="1:15" ht="13.8">
      <c r="B48" s="94"/>
      <c r="C48" s="373"/>
      <c r="D48" s="85"/>
      <c r="F48" s="95"/>
      <c r="H48" s="351" t="s">
        <v>280</v>
      </c>
      <c r="I48" s="203"/>
      <c r="J48" s="204"/>
      <c r="K48" s="176" t="e">
        <f>E22</f>
        <v>#DIV/0!</v>
      </c>
      <c r="L48" s="46"/>
      <c r="M48" s="46"/>
      <c r="N48" s="46"/>
    </row>
    <row r="49" spans="1:15" ht="13.8">
      <c r="A49" s="374" t="s">
        <v>304</v>
      </c>
      <c r="B49" s="375"/>
      <c r="C49" s="376"/>
      <c r="D49" s="46"/>
      <c r="E49" s="179" t="e">
        <f>(E$26*1.3)+($E$47-$E$26)</f>
        <v>#DIV/0!</v>
      </c>
      <c r="F49" s="96"/>
      <c r="G49" s="46"/>
      <c r="H49" s="351" t="s">
        <v>283</v>
      </c>
      <c r="I49" s="356"/>
      <c r="J49" s="357"/>
      <c r="K49" s="176" t="e">
        <f>E25</f>
        <v>#DIV/0!</v>
      </c>
      <c r="L49" s="46"/>
      <c r="M49" s="46"/>
      <c r="N49" s="46"/>
      <c r="O49" s="46"/>
    </row>
    <row r="50" spans="1:15" s="46" customFormat="1" ht="13.8">
      <c r="B50" s="97"/>
      <c r="C50" s="98"/>
      <c r="H50" s="247" t="s">
        <v>285</v>
      </c>
      <c r="I50" s="360"/>
      <c r="J50" s="345"/>
      <c r="K50" s="172">
        <f>E28</f>
        <v>0</v>
      </c>
    </row>
    <row r="51" spans="1:15" s="46" customFormat="1" ht="13.8">
      <c r="A51" s="374" t="s">
        <v>305</v>
      </c>
      <c r="B51" s="375"/>
      <c r="C51" s="376"/>
      <c r="E51" s="179" t="e">
        <f>(E$26*1.5)+($E$47-$E$26)</f>
        <v>#DIV/0!</v>
      </c>
      <c r="F51" s="96"/>
      <c r="H51" s="247" t="s">
        <v>287</v>
      </c>
      <c r="I51" s="361"/>
      <c r="J51" s="345"/>
      <c r="K51" s="172">
        <f t="shared" ref="K51:K52" si="4">E29</f>
        <v>0</v>
      </c>
      <c r="M51" s="3"/>
    </row>
    <row r="52" spans="1:15" s="46" customFormat="1" ht="13.8">
      <c r="B52" s="97"/>
      <c r="C52" s="98"/>
      <c r="H52" s="247" t="s">
        <v>288</v>
      </c>
      <c r="I52" s="353"/>
      <c r="J52" s="248" t="s">
        <v>262</v>
      </c>
      <c r="K52" s="172">
        <f t="shared" si="4"/>
        <v>0</v>
      </c>
      <c r="M52" s="3"/>
    </row>
    <row r="53" spans="1:15" s="46" customFormat="1" ht="13.8">
      <c r="A53" s="374" t="s">
        <v>306</v>
      </c>
      <c r="B53" s="375"/>
      <c r="C53" s="376"/>
      <c r="E53" s="179" t="e">
        <f>(E$26*2.5)+($E$47-$E$26)</f>
        <v>#DIV/0!</v>
      </c>
      <c r="H53" s="247" t="s">
        <v>292</v>
      </c>
      <c r="I53" s="353"/>
      <c r="J53" s="367"/>
      <c r="K53" s="172">
        <f>E34</f>
        <v>0</v>
      </c>
      <c r="M53" s="3"/>
    </row>
    <row r="54" spans="1:15" s="46" customFormat="1" ht="13.8">
      <c r="B54" s="97"/>
      <c r="C54" s="99"/>
      <c r="F54" s="100"/>
      <c r="H54" s="247" t="s">
        <v>293</v>
      </c>
      <c r="I54" s="353"/>
      <c r="J54" s="367"/>
      <c r="K54" s="172">
        <f t="shared" ref="K54:K60" si="5">E35</f>
        <v>0</v>
      </c>
      <c r="M54" s="3"/>
    </row>
    <row r="55" spans="1:15" s="46" customFormat="1" ht="13.8">
      <c r="B55" s="97"/>
      <c r="C55" s="99"/>
      <c r="F55" s="100"/>
      <c r="H55" s="247" t="s">
        <v>294</v>
      </c>
      <c r="I55" s="353"/>
      <c r="J55" s="367"/>
      <c r="K55" s="172">
        <f t="shared" si="5"/>
        <v>0</v>
      </c>
      <c r="M55" s="3"/>
    </row>
    <row r="56" spans="1:15" s="46" customFormat="1" ht="13.8">
      <c r="C56" s="101"/>
      <c r="F56" s="100"/>
      <c r="H56" s="247" t="s">
        <v>295</v>
      </c>
      <c r="I56" s="353"/>
      <c r="J56" s="368"/>
      <c r="K56" s="172">
        <f t="shared" si="5"/>
        <v>0</v>
      </c>
      <c r="M56" s="3"/>
    </row>
    <row r="57" spans="1:15" s="46" customFormat="1" ht="13.8">
      <c r="C57" s="101"/>
      <c r="F57" s="100"/>
      <c r="H57" s="247" t="s">
        <v>296</v>
      </c>
      <c r="I57" s="353"/>
      <c r="J57" s="367"/>
      <c r="K57" s="172">
        <f t="shared" si="5"/>
        <v>0</v>
      </c>
      <c r="M57" s="3"/>
    </row>
    <row r="58" spans="1:15" s="46" customFormat="1" ht="13.8">
      <c r="A58" s="3"/>
      <c r="C58" s="101"/>
      <c r="F58" s="100"/>
      <c r="H58" s="247" t="s">
        <v>297</v>
      </c>
      <c r="I58" s="353"/>
      <c r="J58" s="368"/>
      <c r="K58" s="172">
        <f t="shared" si="5"/>
        <v>0</v>
      </c>
      <c r="M58" s="3"/>
      <c r="N58" s="3"/>
    </row>
    <row r="59" spans="1:15" s="46" customFormat="1" ht="13.8">
      <c r="C59" s="101"/>
      <c r="F59" s="100"/>
      <c r="H59" s="247" t="s">
        <v>298</v>
      </c>
      <c r="I59" s="353"/>
      <c r="J59" s="345"/>
      <c r="K59" s="172">
        <f t="shared" si="5"/>
        <v>0</v>
      </c>
      <c r="M59" s="3"/>
      <c r="N59" s="3"/>
    </row>
    <row r="60" spans="1:15" s="46" customFormat="1" ht="13.8">
      <c r="C60" s="101"/>
      <c r="F60" s="100"/>
      <c r="H60" s="247" t="s">
        <v>299</v>
      </c>
      <c r="I60" s="353"/>
      <c r="J60" s="345"/>
      <c r="K60" s="172">
        <f t="shared" si="5"/>
        <v>0</v>
      </c>
      <c r="M60" s="3"/>
      <c r="N60" s="3"/>
    </row>
    <row r="61" spans="1:15" s="46" customFormat="1" ht="13.8">
      <c r="C61" s="101"/>
      <c r="F61" s="100"/>
      <c r="H61" s="247" t="s">
        <v>301</v>
      </c>
      <c r="I61" s="353"/>
      <c r="J61" s="368"/>
      <c r="K61" s="172">
        <f>E45</f>
        <v>0</v>
      </c>
      <c r="M61" s="3"/>
      <c r="N61" s="3"/>
    </row>
    <row r="62" spans="1:15" s="46" customFormat="1" ht="13.8">
      <c r="C62" s="101"/>
      <c r="F62" s="100"/>
      <c r="H62" s="247"/>
      <c r="I62" s="370"/>
      <c r="J62" s="248"/>
      <c r="K62" s="171"/>
      <c r="M62" s="3"/>
      <c r="N62" s="3"/>
    </row>
    <row r="63" spans="1:15" s="46" customFormat="1" ht="13.8">
      <c r="C63" s="101"/>
      <c r="F63" s="100"/>
      <c r="H63" s="346" t="s">
        <v>303</v>
      </c>
      <c r="I63" s="371"/>
      <c r="J63" s="372"/>
      <c r="K63" s="138" t="e">
        <f>SUM(K45:K62)</f>
        <v>#DIV/0!</v>
      </c>
      <c r="M63" s="3"/>
      <c r="N63" s="3"/>
    </row>
    <row r="64" spans="1:15" s="46" customFormat="1" ht="13.8">
      <c r="C64" s="101"/>
      <c r="F64" s="100"/>
      <c r="H64" s="3"/>
      <c r="I64" s="94"/>
      <c r="J64" s="373"/>
      <c r="K64" s="3"/>
      <c r="M64" s="3"/>
      <c r="N64" s="3"/>
    </row>
    <row r="65" spans="1:15" s="46" customFormat="1" ht="13.8">
      <c r="C65" s="101"/>
      <c r="E65" s="3"/>
      <c r="F65" s="100"/>
      <c r="H65" s="374" t="s">
        <v>304</v>
      </c>
      <c r="I65" s="375"/>
      <c r="J65" s="376"/>
      <c r="K65" s="179" t="e">
        <f>E49</f>
        <v>#DIV/0!</v>
      </c>
      <c r="M65" s="3"/>
      <c r="N65" s="3"/>
    </row>
    <row r="66" spans="1:15" s="46" customFormat="1" ht="13.8">
      <c r="A66" s="3"/>
      <c r="B66" s="3"/>
      <c r="C66" s="3"/>
      <c r="D66" s="3"/>
      <c r="E66" s="3"/>
      <c r="F66" s="3"/>
      <c r="G66" s="3"/>
      <c r="I66" s="97"/>
      <c r="J66" s="98"/>
      <c r="M66" s="3"/>
      <c r="N66" s="3"/>
      <c r="O66" s="3"/>
    </row>
    <row r="67" spans="1:15" ht="13.8">
      <c r="H67" s="374" t="s">
        <v>305</v>
      </c>
      <c r="I67" s="375"/>
      <c r="J67" s="376"/>
      <c r="K67" s="179" t="e">
        <f>E51</f>
        <v>#DIV/0!</v>
      </c>
      <c r="L67" s="46"/>
    </row>
    <row r="68" spans="1:15" ht="13.8">
      <c r="H68" s="46"/>
      <c r="I68" s="97"/>
      <c r="J68" s="98"/>
      <c r="K68" s="46"/>
      <c r="L68" s="46"/>
    </row>
    <row r="69" spans="1:15" ht="13.8">
      <c r="H69" s="374" t="s">
        <v>306</v>
      </c>
      <c r="I69" s="375"/>
      <c r="J69" s="376"/>
      <c r="K69" s="179" t="e">
        <f>E53</f>
        <v>#DIV/0!</v>
      </c>
      <c r="L69" s="46"/>
    </row>
    <row r="70" spans="1:15">
      <c r="L70" s="46"/>
    </row>
    <row r="71" spans="1:15">
      <c r="L71" s="46"/>
    </row>
    <row r="72" spans="1:15">
      <c r="L72" s="46"/>
    </row>
  </sheetData>
  <dataConsolidate/>
  <mergeCells count="7">
    <mergeCell ref="I31:N31"/>
    <mergeCell ref="E10:F10"/>
    <mergeCell ref="H1:N2"/>
    <mergeCell ref="H3:N3"/>
    <mergeCell ref="H4:N5"/>
    <mergeCell ref="I10:N10"/>
    <mergeCell ref="I20:N20"/>
  </mergeCells>
  <phoneticPr fontId="10"/>
  <conditionalFormatting sqref="O30">
    <cfRule type="cellIs" dxfId="8" priority="1" operator="greaterThan">
      <formula>1</formula>
    </cfRule>
    <cfRule type="cellIs" dxfId="7" priority="2" operator="between">
      <formula>0.999999</formula>
      <formula>0</formula>
    </cfRule>
    <cfRule type="cellIs" dxfId="6"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9"/>
  <sheetViews>
    <sheetView showGridLines="0" zoomScale="89" zoomScaleNormal="89" zoomScalePageLayoutView="50" workbookViewId="0">
      <pane ySplit="9" topLeftCell="A22" activePane="bottomLeft" state="frozen"/>
      <selection activeCell="B1" sqref="B1"/>
      <selection pane="bottomLeft" activeCell="E46" sqref="E46"/>
    </sheetView>
  </sheetViews>
  <sheetFormatPr defaultColWidth="11.44140625" defaultRowHeight="13.2"/>
  <cols>
    <col min="1" max="1" width="35.88671875" style="3" customWidth="1"/>
    <col min="2" max="2" width="21.332031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88671875" style="3" customWidth="1"/>
    <col min="9" max="16384" width="11.44140625" style="3"/>
  </cols>
  <sheetData>
    <row r="1" spans="1:15" ht="12.75" customHeight="1">
      <c r="A1" s="303" t="s">
        <v>4</v>
      </c>
      <c r="B1" s="58"/>
      <c r="C1" s="2"/>
      <c r="D1" s="2"/>
      <c r="E1" s="2"/>
      <c r="F1" s="2"/>
      <c r="H1" s="460"/>
      <c r="I1" s="460"/>
      <c r="J1" s="460"/>
      <c r="K1" s="460"/>
      <c r="L1" s="460"/>
      <c r="M1" s="460"/>
      <c r="N1" s="460"/>
    </row>
    <row r="2" spans="1:15">
      <c r="A2" s="76"/>
      <c r="B2" s="77"/>
      <c r="C2" s="78"/>
      <c r="D2" s="77"/>
      <c r="E2" s="79"/>
      <c r="F2" s="80"/>
      <c r="H2" s="460"/>
      <c r="I2" s="460"/>
      <c r="J2" s="460"/>
      <c r="K2" s="460"/>
      <c r="L2" s="460"/>
      <c r="M2" s="460"/>
      <c r="N2" s="460"/>
    </row>
    <row r="3" spans="1:15" ht="14.25" customHeight="1">
      <c r="A3" s="102" t="str">
        <f>'2-Kosten per locatie'!A3</f>
        <v>Naam opdrachtgever</v>
      </c>
      <c r="B3" s="103" t="str">
        <f>'2-Kosten per locatie'!B3</f>
        <v>Basis calculatiemodel</v>
      </c>
      <c r="C3" s="104"/>
      <c r="D3" s="77"/>
      <c r="E3" s="169"/>
      <c r="F3" s="82"/>
      <c r="H3" s="460"/>
      <c r="I3" s="460"/>
      <c r="J3" s="460"/>
      <c r="K3" s="460"/>
      <c r="L3" s="460"/>
      <c r="M3" s="460"/>
      <c r="N3" s="460"/>
    </row>
    <row r="4" spans="1:15" ht="15.75" customHeight="1">
      <c r="A4" s="102" t="str">
        <f>'2-Kosten per locatie'!A4</f>
        <v>Calculatie onderdeel</v>
      </c>
      <c r="B4" s="105" t="str">
        <f ca="1">MID(CELL("bestandsnaam",$C$9),SEARCH("]",CELL("bestandsnaam",$C$9),1)+1,256)</f>
        <v>7-Opbouw uurtarief toezicht</v>
      </c>
      <c r="C4" s="106"/>
      <c r="D4" s="85"/>
      <c r="H4" s="460"/>
      <c r="I4" s="460"/>
      <c r="J4" s="460"/>
      <c r="K4" s="460"/>
      <c r="L4" s="460"/>
      <c r="M4" s="460"/>
      <c r="N4" s="460"/>
    </row>
    <row r="5" spans="1:15" ht="15">
      <c r="A5" s="102" t="str">
        <f>'2-Kosten per locatie'!A5</f>
        <v>Gebouw/plaats</v>
      </c>
      <c r="B5" s="103" t="str">
        <f>'2-Kosten per locatie'!B5</f>
        <v>Sliedrecht</v>
      </c>
      <c r="C5" s="106"/>
      <c r="D5" s="85"/>
      <c r="H5" s="460"/>
      <c r="I5" s="460"/>
      <c r="J5" s="460"/>
      <c r="K5" s="460"/>
      <c r="L5" s="460"/>
      <c r="M5" s="460"/>
      <c r="N5" s="460"/>
    </row>
    <row r="6" spans="1:15" ht="15">
      <c r="A6" s="102" t="str">
        <f>'2-Kosten per locatie'!A6</f>
        <v>Referentie nummer</v>
      </c>
      <c r="B6" s="103" t="str">
        <f>'2-Kosten per locatie'!B6</f>
        <v>GS-EA-MVD-SW-2023</v>
      </c>
      <c r="C6" s="106"/>
      <c r="D6" s="85"/>
      <c r="H6" s="86"/>
      <c r="I6" s="86"/>
      <c r="J6" s="86"/>
      <c r="K6" s="86"/>
      <c r="L6" s="86"/>
      <c r="M6" s="86"/>
      <c r="N6" s="86"/>
    </row>
    <row r="7" spans="1:15" ht="15">
      <c r="A7" s="102" t="str">
        <f>'2-Kosten per locatie'!A7</f>
        <v>Naam dienstverlener</v>
      </c>
      <c r="B7" s="103" t="str">
        <f>'2-Kosten per locatie'!B7</f>
        <v>Gemeente Sliedrecht</v>
      </c>
      <c r="C7" s="106"/>
      <c r="D7" s="85"/>
      <c r="H7" s="86"/>
      <c r="I7" s="86"/>
      <c r="J7" s="86"/>
      <c r="K7" s="86"/>
      <c r="L7" s="86"/>
      <c r="M7" s="86"/>
      <c r="N7" s="86"/>
      <c r="O7" s="89"/>
    </row>
    <row r="8" spans="1:15" ht="15">
      <c r="A8" s="102" t="str">
        <f>'2-Kosten per locatie'!A8</f>
        <v>Prijspeil</v>
      </c>
      <c r="B8" s="243">
        <f>'2-Kosten per locatie'!B8</f>
        <v>45474</v>
      </c>
      <c r="C8" s="106"/>
      <c r="D8" s="85"/>
      <c r="L8" s="86"/>
      <c r="M8" s="86"/>
      <c r="N8" s="86"/>
    </row>
    <row r="9" spans="1:15" ht="15">
      <c r="A9" s="81"/>
      <c r="B9" s="83"/>
      <c r="C9" s="84"/>
      <c r="D9" s="85"/>
      <c r="E9" s="170"/>
      <c r="F9" s="87"/>
    </row>
    <row r="10" spans="1:15" s="89" customFormat="1" ht="30.75" customHeight="1">
      <c r="A10" s="337" t="s">
        <v>307</v>
      </c>
      <c r="B10" s="338"/>
      <c r="C10" s="339"/>
      <c r="D10" s="88"/>
      <c r="E10" s="458" t="s">
        <v>308</v>
      </c>
      <c r="F10" s="464"/>
      <c r="H10" s="148" t="s">
        <v>261</v>
      </c>
      <c r="I10" s="457" t="s">
        <v>393</v>
      </c>
      <c r="J10" s="457"/>
      <c r="K10" s="457"/>
      <c r="L10" s="457"/>
      <c r="M10" s="457"/>
      <c r="N10" s="457"/>
    </row>
    <row r="11" spans="1:15" ht="30" customHeight="1">
      <c r="A11" s="149"/>
      <c r="B11" s="340" t="s">
        <v>262</v>
      </c>
      <c r="C11" s="341" t="s">
        <v>262</v>
      </c>
      <c r="D11" s="85"/>
      <c r="E11" s="171"/>
      <c r="F11" s="342"/>
      <c r="H11" s="149"/>
      <c r="I11" s="166">
        <v>1</v>
      </c>
      <c r="J11" s="166">
        <v>2</v>
      </c>
      <c r="K11" s="166">
        <v>3</v>
      </c>
      <c r="L11" s="166">
        <v>4</v>
      </c>
      <c r="M11" s="166">
        <v>5</v>
      </c>
      <c r="N11" s="166">
        <v>6</v>
      </c>
    </row>
    <row r="12" spans="1:15" ht="12.75" customHeight="1">
      <c r="A12" s="149" t="s">
        <v>263</v>
      </c>
      <c r="B12" s="343" t="s">
        <v>264</v>
      </c>
      <c r="C12" s="344"/>
      <c r="D12" s="85"/>
      <c r="E12" s="172">
        <f>SUM(I31:N31)</f>
        <v>0</v>
      </c>
      <c r="F12" s="90"/>
      <c r="H12" s="377" t="s">
        <v>271</v>
      </c>
      <c r="I12" s="246"/>
      <c r="J12" s="246"/>
      <c r="K12" s="246"/>
      <c r="L12" s="246"/>
      <c r="M12" s="246"/>
      <c r="N12" s="246"/>
    </row>
    <row r="13" spans="1:15" ht="13.8">
      <c r="A13" s="149" t="s">
        <v>266</v>
      </c>
      <c r="B13" s="343" t="s">
        <v>264</v>
      </c>
      <c r="C13" s="345"/>
      <c r="D13" s="85"/>
      <c r="E13" s="173">
        <v>0</v>
      </c>
      <c r="F13" s="90"/>
      <c r="H13" s="377" t="s">
        <v>273</v>
      </c>
      <c r="I13" s="246"/>
      <c r="J13" s="246"/>
      <c r="K13" s="246"/>
      <c r="L13" s="246"/>
      <c r="M13" s="246"/>
      <c r="N13" s="246"/>
    </row>
    <row r="14" spans="1:15" ht="13.8">
      <c r="A14" s="247" t="s">
        <v>268</v>
      </c>
      <c r="B14" s="343" t="s">
        <v>264</v>
      </c>
      <c r="C14" s="248"/>
      <c r="D14" s="85"/>
      <c r="E14" s="173">
        <v>0</v>
      </c>
      <c r="F14" s="90"/>
      <c r="H14" s="377" t="s">
        <v>275</v>
      </c>
      <c r="I14" s="246"/>
      <c r="J14" s="246"/>
      <c r="K14" s="246"/>
      <c r="L14" s="246"/>
      <c r="M14" s="246"/>
      <c r="N14" s="246"/>
    </row>
    <row r="15" spans="1:15" ht="13.8">
      <c r="A15" s="346" t="s">
        <v>270</v>
      </c>
      <c r="B15" s="347"/>
      <c r="C15" s="248"/>
      <c r="D15" s="85"/>
      <c r="E15" s="174">
        <f>SUM(E12:E14)</f>
        <v>0</v>
      </c>
      <c r="F15" s="90"/>
      <c r="H15" s="377" t="s">
        <v>277</v>
      </c>
      <c r="I15" s="246"/>
      <c r="J15" s="246"/>
      <c r="K15" s="246"/>
      <c r="L15" s="246"/>
      <c r="M15" s="246"/>
      <c r="N15" s="246"/>
    </row>
    <row r="16" spans="1:15" ht="13.8">
      <c r="A16" s="247"/>
      <c r="B16" s="349"/>
      <c r="C16" s="350"/>
      <c r="D16" s="85"/>
      <c r="E16" s="175"/>
      <c r="F16" s="90"/>
      <c r="H16" s="144"/>
      <c r="I16" s="145"/>
      <c r="J16" s="145"/>
      <c r="K16" s="145"/>
      <c r="L16" s="145"/>
      <c r="M16" s="145"/>
      <c r="N16" s="145"/>
    </row>
    <row r="17" spans="1:15" ht="13.8">
      <c r="A17" s="351" t="s">
        <v>272</v>
      </c>
      <c r="B17" s="343" t="s">
        <v>264</v>
      </c>
      <c r="C17" s="352">
        <v>0</v>
      </c>
      <c r="D17" s="85"/>
      <c r="E17" s="176">
        <f>$C17*E15</f>
        <v>0</v>
      </c>
      <c r="F17" s="90"/>
      <c r="H17" s="148" t="s">
        <v>261</v>
      </c>
      <c r="I17" s="461" t="s">
        <v>279</v>
      </c>
      <c r="J17" s="462"/>
      <c r="K17" s="462"/>
      <c r="L17" s="462"/>
      <c r="M17" s="462"/>
      <c r="N17" s="463"/>
    </row>
    <row r="18" spans="1:15" ht="13.8">
      <c r="A18" s="351" t="s">
        <v>274</v>
      </c>
      <c r="B18" s="343" t="s">
        <v>264</v>
      </c>
      <c r="C18" s="352">
        <v>0</v>
      </c>
      <c r="D18" s="85"/>
      <c r="E18" s="177">
        <f>$C18*E15</f>
        <v>0</v>
      </c>
      <c r="F18" s="90"/>
      <c r="H18" s="149"/>
      <c r="I18" s="150">
        <v>1</v>
      </c>
      <c r="J18" s="150">
        <v>2</v>
      </c>
      <c r="K18" s="150">
        <v>3</v>
      </c>
      <c r="L18" s="150">
        <v>4</v>
      </c>
      <c r="M18" s="150">
        <v>5</v>
      </c>
      <c r="N18" s="150">
        <v>6</v>
      </c>
    </row>
    <row r="19" spans="1:15" ht="13.8">
      <c r="A19" s="346" t="s">
        <v>276</v>
      </c>
      <c r="B19" s="353"/>
      <c r="C19" s="248"/>
      <c r="D19" s="85"/>
      <c r="E19" s="174">
        <f>SUM(E15:E18)</f>
        <v>0</v>
      </c>
      <c r="F19" s="354">
        <f>IF(E19=0,0,E19/E$47)</f>
        <v>0</v>
      </c>
      <c r="H19" s="149" t="s">
        <v>271</v>
      </c>
      <c r="I19" s="359"/>
      <c r="J19" s="359"/>
      <c r="K19" s="359"/>
      <c r="L19" s="359"/>
      <c r="M19" s="359"/>
      <c r="N19" s="359"/>
    </row>
    <row r="20" spans="1:15" ht="13.8">
      <c r="A20" s="247"/>
      <c r="B20" s="349"/>
      <c r="C20" s="350"/>
      <c r="D20" s="85"/>
      <c r="E20" s="175"/>
      <c r="F20" s="90"/>
      <c r="H20" s="149" t="s">
        <v>273</v>
      </c>
      <c r="I20" s="359"/>
      <c r="J20" s="359"/>
      <c r="K20" s="359"/>
      <c r="L20" s="359"/>
      <c r="M20" s="359"/>
      <c r="N20" s="359"/>
    </row>
    <row r="21" spans="1:15" ht="13.8">
      <c r="A21" s="378" t="s">
        <v>278</v>
      </c>
      <c r="B21" s="356"/>
      <c r="C21" s="350"/>
      <c r="D21" s="91"/>
      <c r="E21" s="178">
        <f>E19*0.96</f>
        <v>0</v>
      </c>
      <c r="F21" s="92"/>
      <c r="G21" s="46"/>
      <c r="H21" s="149" t="s">
        <v>275</v>
      </c>
      <c r="I21" s="359"/>
      <c r="J21" s="359"/>
      <c r="K21" s="359"/>
      <c r="L21" s="359"/>
      <c r="M21" s="359"/>
      <c r="N21" s="359"/>
    </row>
    <row r="22" spans="1:15" s="46" customFormat="1" ht="13.8">
      <c r="A22" s="351" t="s">
        <v>280</v>
      </c>
      <c r="B22" s="356"/>
      <c r="C22" s="357" t="s">
        <v>281</v>
      </c>
      <c r="D22" s="85"/>
      <c r="E22" s="176" t="e">
        <f>E21*'5-Premies en opslagen'!$C24</f>
        <v>#DIV/0!</v>
      </c>
      <c r="F22" s="90"/>
      <c r="G22" s="3"/>
      <c r="H22" s="149" t="s">
        <v>277</v>
      </c>
      <c r="I22" s="359"/>
      <c r="J22" s="359"/>
      <c r="K22" s="359"/>
      <c r="L22" s="359"/>
      <c r="M22" s="359"/>
      <c r="N22" s="359"/>
      <c r="O22" s="3"/>
    </row>
    <row r="23" spans="1:15" ht="14.25" customHeight="1">
      <c r="A23" s="346" t="s">
        <v>282</v>
      </c>
      <c r="B23" s="353"/>
      <c r="C23" s="248"/>
      <c r="D23" s="85"/>
      <c r="E23" s="174" t="e">
        <f>E22+E19</f>
        <v>#DIV/0!</v>
      </c>
      <c r="F23" s="354" t="e">
        <f>IF(E23=0,0,E23/E$47)</f>
        <v>#DIV/0!</v>
      </c>
      <c r="H23" s="153" t="s">
        <v>289</v>
      </c>
      <c r="I23" s="379">
        <f t="shared" ref="I23:N23" si="0">SUM(I19:I22)</f>
        <v>0</v>
      </c>
      <c r="J23" s="379">
        <f t="shared" si="0"/>
        <v>0</v>
      </c>
      <c r="K23" s="379">
        <f t="shared" si="0"/>
        <v>0</v>
      </c>
      <c r="L23" s="379">
        <f t="shared" si="0"/>
        <v>0</v>
      </c>
      <c r="M23" s="379">
        <f t="shared" si="0"/>
        <v>0</v>
      </c>
      <c r="N23" s="379">
        <f t="shared" si="0"/>
        <v>0</v>
      </c>
      <c r="O23" s="46"/>
    </row>
    <row r="24" spans="1:15" ht="12.75" customHeight="1">
      <c r="A24" s="247"/>
      <c r="B24" s="353"/>
      <c r="C24" s="248"/>
      <c r="D24" s="85"/>
      <c r="E24" s="171"/>
      <c r="F24" s="90"/>
    </row>
    <row r="25" spans="1:15" ht="12.75" customHeight="1">
      <c r="A25" s="351" t="s">
        <v>283</v>
      </c>
      <c r="B25" s="356"/>
      <c r="C25" s="357" t="s">
        <v>281</v>
      </c>
      <c r="D25" s="85"/>
      <c r="E25" s="176" t="e">
        <f>E23*'5-Premies en opslagen'!$B53</f>
        <v>#DIV/0!</v>
      </c>
      <c r="F25" s="90"/>
      <c r="H25" s="148" t="s">
        <v>261</v>
      </c>
      <c r="I25" s="457" t="s">
        <v>291</v>
      </c>
      <c r="J25" s="457"/>
      <c r="K25" s="457"/>
      <c r="L25" s="457"/>
      <c r="M25" s="457"/>
      <c r="N25" s="457"/>
      <c r="O25" s="380">
        <f>SUM(I23:N23)</f>
        <v>0</v>
      </c>
    </row>
    <row r="26" spans="1:15" ht="13.8">
      <c r="A26" s="346" t="s">
        <v>284</v>
      </c>
      <c r="B26" s="353"/>
      <c r="C26" s="248"/>
      <c r="D26" s="85"/>
      <c r="E26" s="174" t="e">
        <f>SUM(E23:E25)</f>
        <v>#DIV/0!</v>
      </c>
      <c r="F26" s="354" t="e">
        <f>IF(E26=0,0,E26/E$47)</f>
        <v>#DIV/0!</v>
      </c>
      <c r="H26" s="149"/>
      <c r="I26" s="150">
        <v>1</v>
      </c>
      <c r="J26" s="150">
        <v>2</v>
      </c>
      <c r="K26" s="150">
        <v>3</v>
      </c>
      <c r="L26" s="150">
        <v>4</v>
      </c>
      <c r="M26" s="150">
        <v>5</v>
      </c>
      <c r="N26" s="150">
        <v>6</v>
      </c>
    </row>
    <row r="27" spans="1:15" ht="13.8">
      <c r="A27" s="247"/>
      <c r="B27" s="353"/>
      <c r="C27" s="248"/>
      <c r="D27" s="85"/>
      <c r="E27" s="171"/>
      <c r="F27" s="90"/>
      <c r="H27" s="149" t="s">
        <v>271</v>
      </c>
      <c r="I27" s="151">
        <f t="shared" ref="I27:N30" si="1">I19*I12</f>
        <v>0</v>
      </c>
      <c r="J27" s="151">
        <f t="shared" si="1"/>
        <v>0</v>
      </c>
      <c r="K27" s="151">
        <f t="shared" si="1"/>
        <v>0</v>
      </c>
      <c r="L27" s="151">
        <f t="shared" si="1"/>
        <v>0</v>
      </c>
      <c r="M27" s="151">
        <f t="shared" si="1"/>
        <v>0</v>
      </c>
      <c r="N27" s="152">
        <f t="shared" si="1"/>
        <v>0</v>
      </c>
    </row>
    <row r="28" spans="1:15" ht="13.8">
      <c r="A28" s="247" t="s">
        <v>285</v>
      </c>
      <c r="B28" s="360"/>
      <c r="C28" s="345" t="s">
        <v>286</v>
      </c>
      <c r="D28" s="85"/>
      <c r="E28" s="173">
        <v>0</v>
      </c>
      <c r="F28" s="140">
        <v>0</v>
      </c>
      <c r="H28" s="149" t="s">
        <v>273</v>
      </c>
      <c r="I28" s="151">
        <f t="shared" si="1"/>
        <v>0</v>
      </c>
      <c r="J28" s="151">
        <f t="shared" si="1"/>
        <v>0</v>
      </c>
      <c r="K28" s="151">
        <f t="shared" si="1"/>
        <v>0</v>
      </c>
      <c r="L28" s="151">
        <f t="shared" si="1"/>
        <v>0</v>
      </c>
      <c r="M28" s="151">
        <f t="shared" si="1"/>
        <v>0</v>
      </c>
      <c r="N28" s="152">
        <f t="shared" si="1"/>
        <v>0</v>
      </c>
    </row>
    <row r="29" spans="1:15" ht="13.8">
      <c r="A29" s="247" t="s">
        <v>287</v>
      </c>
      <c r="B29" s="361"/>
      <c r="C29" s="345" t="s">
        <v>286</v>
      </c>
      <c r="D29" s="85"/>
      <c r="E29" s="173">
        <v>0</v>
      </c>
      <c r="F29" s="140">
        <v>0</v>
      </c>
      <c r="H29" s="149" t="s">
        <v>275</v>
      </c>
      <c r="I29" s="151">
        <f t="shared" si="1"/>
        <v>0</v>
      </c>
      <c r="J29" s="151">
        <f t="shared" si="1"/>
        <v>0</v>
      </c>
      <c r="K29" s="151">
        <f t="shared" si="1"/>
        <v>0</v>
      </c>
      <c r="L29" s="151">
        <f t="shared" si="1"/>
        <v>0</v>
      </c>
      <c r="M29" s="151">
        <f t="shared" si="1"/>
        <v>0</v>
      </c>
      <c r="N29" s="152">
        <f t="shared" si="1"/>
        <v>0</v>
      </c>
    </row>
    <row r="30" spans="1:15" ht="13.8">
      <c r="A30" s="247"/>
      <c r="B30" s="353"/>
      <c r="C30" s="248"/>
      <c r="D30" s="85"/>
      <c r="E30" s="171"/>
      <c r="F30" s="90"/>
      <c r="H30" s="149" t="s">
        <v>277</v>
      </c>
      <c r="I30" s="151">
        <f t="shared" si="1"/>
        <v>0</v>
      </c>
      <c r="J30" s="151">
        <f t="shared" si="1"/>
        <v>0</v>
      </c>
      <c r="K30" s="151">
        <f t="shared" si="1"/>
        <v>0</v>
      </c>
      <c r="L30" s="151">
        <f t="shared" si="1"/>
        <v>0</v>
      </c>
      <c r="M30" s="151">
        <f t="shared" si="1"/>
        <v>0</v>
      </c>
      <c r="N30" s="152">
        <f t="shared" si="1"/>
        <v>0</v>
      </c>
    </row>
    <row r="31" spans="1:15" ht="12.75" customHeight="1">
      <c r="A31" s="362"/>
      <c r="B31" s="363"/>
      <c r="C31" s="364" t="s">
        <v>262</v>
      </c>
      <c r="D31" s="85"/>
      <c r="E31" s="173"/>
      <c r="F31" s="90"/>
      <c r="H31" s="153" t="s">
        <v>289</v>
      </c>
      <c r="I31" s="154">
        <f t="shared" ref="I31:N31" si="2">SUM(I27:I30)</f>
        <v>0</v>
      </c>
      <c r="J31" s="154">
        <f t="shared" si="2"/>
        <v>0</v>
      </c>
      <c r="K31" s="154">
        <f t="shared" si="2"/>
        <v>0</v>
      </c>
      <c r="L31" s="154">
        <f t="shared" si="2"/>
        <v>0</v>
      </c>
      <c r="M31" s="154">
        <f t="shared" si="2"/>
        <v>0</v>
      </c>
      <c r="N31" s="154">
        <f t="shared" si="2"/>
        <v>0</v>
      </c>
    </row>
    <row r="32" spans="1:15" ht="12.75" customHeight="1">
      <c r="A32" s="346" t="s">
        <v>290</v>
      </c>
      <c r="B32" s="353"/>
      <c r="C32" s="248"/>
      <c r="D32" s="85"/>
      <c r="E32" s="174" t="e">
        <f>SUM(E26:E31)</f>
        <v>#DIV/0!</v>
      </c>
      <c r="F32" s="354" t="e">
        <f>IF(E32=0,0,E32/E$47)</f>
        <v>#DIV/0!</v>
      </c>
      <c r="H32" s="46"/>
      <c r="I32" s="46"/>
      <c r="J32" s="46"/>
      <c r="K32" s="46"/>
      <c r="L32" s="46"/>
      <c r="M32" s="46"/>
      <c r="N32" s="46"/>
    </row>
    <row r="33" spans="1:14" ht="12.75" customHeight="1">
      <c r="A33" s="247"/>
      <c r="B33" s="353"/>
      <c r="C33" s="248"/>
      <c r="D33" s="85"/>
      <c r="E33" s="171"/>
      <c r="F33" s="90"/>
      <c r="H33" s="46"/>
      <c r="I33" s="46"/>
      <c r="J33" s="46"/>
      <c r="K33" s="46"/>
      <c r="L33" s="46"/>
      <c r="M33" s="46"/>
      <c r="N33" s="46"/>
    </row>
    <row r="34" spans="1:14" ht="12.75" customHeight="1">
      <c r="A34" s="247" t="s">
        <v>292</v>
      </c>
      <c r="B34" s="353"/>
      <c r="C34" s="367"/>
      <c r="D34" s="85"/>
      <c r="E34" s="173">
        <v>0</v>
      </c>
      <c r="F34" s="165" t="e">
        <f>E34/$E$47</f>
        <v>#DIV/0!</v>
      </c>
      <c r="H34" s="46"/>
      <c r="I34" s="46"/>
      <c r="J34" s="46"/>
      <c r="K34" s="46"/>
      <c r="L34" s="46"/>
      <c r="M34" s="46"/>
      <c r="N34" s="46"/>
    </row>
    <row r="35" spans="1:14" ht="12.75" customHeight="1">
      <c r="A35" s="247" t="s">
        <v>293</v>
      </c>
      <c r="B35" s="353"/>
      <c r="C35" s="367"/>
      <c r="D35" s="85"/>
      <c r="E35" s="173">
        <v>0</v>
      </c>
      <c r="F35" s="165" t="e">
        <f t="shared" ref="F35:F41" si="3">E35/$E$47</f>
        <v>#DIV/0!</v>
      </c>
      <c r="H35" s="46"/>
      <c r="I35" s="46"/>
      <c r="J35" s="46"/>
      <c r="K35" s="46"/>
      <c r="L35" s="46"/>
      <c r="M35" s="46"/>
      <c r="N35" s="46"/>
    </row>
    <row r="36" spans="1:14" ht="14.25" customHeight="1">
      <c r="A36" s="247" t="s">
        <v>294</v>
      </c>
      <c r="B36" s="353"/>
      <c r="C36" s="367"/>
      <c r="D36" s="85"/>
      <c r="E36" s="173">
        <v>0</v>
      </c>
      <c r="F36" s="165" t="e">
        <f t="shared" si="3"/>
        <v>#DIV/0!</v>
      </c>
      <c r="H36" s="46"/>
      <c r="I36" s="46"/>
      <c r="J36" s="46"/>
      <c r="K36" s="46"/>
      <c r="L36" s="46"/>
      <c r="M36" s="46"/>
      <c r="N36" s="46"/>
    </row>
    <row r="37" spans="1:14" ht="13.8">
      <c r="A37" s="247" t="s">
        <v>295</v>
      </c>
      <c r="B37" s="353"/>
      <c r="C37" s="368"/>
      <c r="D37" s="85"/>
      <c r="E37" s="173">
        <v>0</v>
      </c>
      <c r="F37" s="165" t="e">
        <f t="shared" si="3"/>
        <v>#DIV/0!</v>
      </c>
      <c r="H37" s="46"/>
      <c r="I37" s="46"/>
      <c r="J37" s="46"/>
      <c r="K37" s="46"/>
      <c r="L37" s="46"/>
      <c r="M37" s="46"/>
      <c r="N37" s="46"/>
    </row>
    <row r="38" spans="1:14" ht="13.8">
      <c r="A38" s="247" t="s">
        <v>296</v>
      </c>
      <c r="B38" s="353"/>
      <c r="C38" s="367"/>
      <c r="D38" s="85"/>
      <c r="E38" s="173">
        <v>0</v>
      </c>
      <c r="F38" s="165" t="e">
        <f t="shared" si="3"/>
        <v>#DIV/0!</v>
      </c>
      <c r="H38" s="46"/>
      <c r="I38" s="46"/>
      <c r="J38" s="46"/>
      <c r="K38" s="46"/>
      <c r="L38" s="46"/>
      <c r="M38" s="46"/>
      <c r="N38" s="46"/>
    </row>
    <row r="39" spans="1:14" ht="13.8">
      <c r="A39" s="247" t="s">
        <v>297</v>
      </c>
      <c r="B39" s="353"/>
      <c r="C39" s="368"/>
      <c r="D39" s="85"/>
      <c r="E39" s="173">
        <v>0</v>
      </c>
      <c r="F39" s="165" t="e">
        <f t="shared" si="3"/>
        <v>#DIV/0!</v>
      </c>
      <c r="H39" s="46"/>
      <c r="I39" s="46"/>
      <c r="J39" s="46"/>
      <c r="K39" s="46"/>
      <c r="L39" s="46"/>
      <c r="M39" s="46"/>
      <c r="N39" s="46"/>
    </row>
    <row r="40" spans="1:14" ht="13.8">
      <c r="A40" s="247" t="s">
        <v>298</v>
      </c>
      <c r="B40" s="353"/>
      <c r="C40" s="345" t="s">
        <v>286</v>
      </c>
      <c r="D40" s="85"/>
      <c r="E40" s="173">
        <v>0</v>
      </c>
      <c r="F40" s="165" t="e">
        <f t="shared" si="3"/>
        <v>#DIV/0!</v>
      </c>
      <c r="H40" s="46"/>
      <c r="I40" s="46"/>
      <c r="J40" s="46"/>
      <c r="K40" s="46"/>
      <c r="L40" s="46"/>
      <c r="M40" s="46"/>
      <c r="N40" s="46"/>
    </row>
    <row r="41" spans="1:14" ht="13.8">
      <c r="A41" s="247" t="s">
        <v>299</v>
      </c>
      <c r="B41" s="353"/>
      <c r="C41" s="345"/>
      <c r="D41" s="85"/>
      <c r="E41" s="173">
        <v>0</v>
      </c>
      <c r="F41" s="165" t="e">
        <f t="shared" si="3"/>
        <v>#DIV/0!</v>
      </c>
      <c r="H41" s="46"/>
      <c r="I41" s="46"/>
      <c r="J41" s="46"/>
      <c r="K41" s="46"/>
      <c r="L41" s="46"/>
      <c r="M41" s="46"/>
      <c r="N41" s="46"/>
    </row>
    <row r="42" spans="1:14" ht="13.8">
      <c r="A42" s="362"/>
      <c r="B42" s="363"/>
      <c r="C42" s="369"/>
      <c r="D42" s="85"/>
      <c r="E42" s="173">
        <v>0</v>
      </c>
      <c r="F42" s="90"/>
      <c r="H42" s="46"/>
      <c r="I42" s="46"/>
      <c r="J42" s="46"/>
      <c r="K42" s="46"/>
      <c r="L42" s="46"/>
      <c r="M42" s="46"/>
      <c r="N42" s="46"/>
    </row>
    <row r="43" spans="1:14" ht="34.200000000000003">
      <c r="A43" s="346" t="s">
        <v>300</v>
      </c>
      <c r="B43" s="353"/>
      <c r="C43" s="248"/>
      <c r="D43" s="85"/>
      <c r="E43" s="174" t="e">
        <f>SUM(E32:E42)</f>
        <v>#DIV/0!</v>
      </c>
      <c r="F43" s="354" t="e">
        <f>IF(E43=0,0,E43/E$47)</f>
        <v>#DIV/0!</v>
      </c>
      <c r="H43" s="337" t="s">
        <v>302</v>
      </c>
      <c r="I43" s="338"/>
      <c r="J43" s="339"/>
      <c r="K43" s="209" t="s">
        <v>260</v>
      </c>
      <c r="L43" s="46"/>
      <c r="M43" s="46"/>
      <c r="N43" s="46"/>
    </row>
    <row r="44" spans="1:14" ht="13.8">
      <c r="A44" s="247"/>
      <c r="B44" s="353"/>
      <c r="C44" s="248"/>
      <c r="D44" s="85"/>
      <c r="E44" s="171"/>
      <c r="F44" s="93"/>
      <c r="H44" s="149"/>
      <c r="I44" s="340" t="s">
        <v>262</v>
      </c>
      <c r="J44" s="341" t="s">
        <v>262</v>
      </c>
      <c r="K44" s="171"/>
      <c r="L44" s="46"/>
      <c r="M44" s="46"/>
      <c r="N44" s="46"/>
    </row>
    <row r="45" spans="1:14" ht="13.8">
      <c r="A45" s="247" t="s">
        <v>301</v>
      </c>
      <c r="B45" s="353"/>
      <c r="C45" s="368"/>
      <c r="D45" s="85"/>
      <c r="E45" s="173">
        <v>0</v>
      </c>
      <c r="F45" s="354">
        <f>(IF(E45=0,0,E45/E$47))</f>
        <v>0</v>
      </c>
      <c r="H45" s="206" t="s">
        <v>270</v>
      </c>
      <c r="I45" s="207"/>
      <c r="J45" s="208"/>
      <c r="K45" s="174">
        <f>E15</f>
        <v>0</v>
      </c>
      <c r="L45" s="46"/>
      <c r="M45" s="46"/>
      <c r="N45" s="46"/>
    </row>
    <row r="46" spans="1:14" ht="13.8">
      <c r="A46" s="247"/>
      <c r="B46" s="370"/>
      <c r="C46" s="248"/>
      <c r="D46" s="85"/>
      <c r="E46" s="171"/>
      <c r="F46" s="90"/>
      <c r="H46" s="205" t="s">
        <v>272</v>
      </c>
      <c r="I46" s="203"/>
      <c r="J46" s="204"/>
      <c r="K46" s="176">
        <f>E17</f>
        <v>0</v>
      </c>
      <c r="L46" s="46"/>
      <c r="M46" s="46"/>
      <c r="N46" s="46"/>
    </row>
    <row r="47" spans="1:14" ht="13.8">
      <c r="A47" s="346" t="s">
        <v>303</v>
      </c>
      <c r="B47" s="381"/>
      <c r="C47" s="372"/>
      <c r="D47" s="85"/>
      <c r="E47" s="138" t="e">
        <f>SUM(E43:E46)</f>
        <v>#DIV/0!</v>
      </c>
      <c r="F47" s="139" t="e">
        <f>SUM(F43:F46)</f>
        <v>#DIV/0!</v>
      </c>
      <c r="H47" s="351" t="s">
        <v>274</v>
      </c>
      <c r="I47" s="203"/>
      <c r="J47" s="204"/>
      <c r="K47" s="177">
        <f>E18</f>
        <v>0</v>
      </c>
      <c r="L47" s="46"/>
      <c r="M47" s="46"/>
      <c r="N47" s="46"/>
    </row>
    <row r="48" spans="1:14" ht="13.8">
      <c r="B48" s="94"/>
      <c r="C48" s="373"/>
      <c r="D48" s="85"/>
      <c r="F48" s="95"/>
      <c r="H48" s="351" t="s">
        <v>280</v>
      </c>
      <c r="I48" s="203"/>
      <c r="J48" s="204"/>
      <c r="K48" s="176" t="e">
        <f>E22</f>
        <v>#DIV/0!</v>
      </c>
      <c r="L48" s="46"/>
      <c r="M48" s="46"/>
      <c r="N48" s="46"/>
    </row>
    <row r="49" spans="1:15" ht="13.8">
      <c r="A49" s="374" t="s">
        <v>304</v>
      </c>
      <c r="B49" s="375"/>
      <c r="C49" s="376"/>
      <c r="D49" s="46"/>
      <c r="E49" s="179" t="e">
        <f>(E$26*1.3)+($E$47-$E$26)</f>
        <v>#DIV/0!</v>
      </c>
      <c r="F49" s="96"/>
      <c r="G49" s="46"/>
      <c r="H49" s="351" t="s">
        <v>283</v>
      </c>
      <c r="I49" s="356"/>
      <c r="J49" s="357"/>
      <c r="K49" s="176" t="e">
        <f>E25</f>
        <v>#DIV/0!</v>
      </c>
      <c r="L49" s="46"/>
      <c r="M49" s="46"/>
      <c r="N49" s="46"/>
    </row>
    <row r="50" spans="1:15" s="46" customFormat="1" ht="13.8">
      <c r="B50" s="97"/>
      <c r="C50" s="98"/>
      <c r="H50" s="247" t="s">
        <v>285</v>
      </c>
      <c r="I50" s="360"/>
      <c r="J50" s="345"/>
      <c r="K50" s="172">
        <f>E28</f>
        <v>0</v>
      </c>
    </row>
    <row r="51" spans="1:15" s="46" customFormat="1" ht="13.8">
      <c r="A51" s="374" t="s">
        <v>305</v>
      </c>
      <c r="B51" s="375"/>
      <c r="C51" s="376"/>
      <c r="E51" s="179" t="e">
        <f>(E$26*1.5)+($E$47-$E$26)</f>
        <v>#DIV/0!</v>
      </c>
      <c r="F51" s="96"/>
      <c r="H51" s="247" t="s">
        <v>287</v>
      </c>
      <c r="I51" s="361"/>
      <c r="J51" s="345"/>
      <c r="K51" s="172">
        <f t="shared" ref="K51:K52" si="4">E29</f>
        <v>0</v>
      </c>
    </row>
    <row r="52" spans="1:15" s="46" customFormat="1" ht="13.8">
      <c r="B52" s="97"/>
      <c r="C52" s="98"/>
      <c r="H52" s="247" t="s">
        <v>288</v>
      </c>
      <c r="I52" s="353"/>
      <c r="J52" s="248" t="s">
        <v>262</v>
      </c>
      <c r="K52" s="172">
        <f t="shared" si="4"/>
        <v>0</v>
      </c>
    </row>
    <row r="53" spans="1:15" s="46" customFormat="1" ht="13.8">
      <c r="A53" s="374" t="s">
        <v>306</v>
      </c>
      <c r="B53" s="375"/>
      <c r="C53" s="376"/>
      <c r="E53" s="179" t="e">
        <f>(E$26*2.5)+($E$47-$E$26)</f>
        <v>#DIV/0!</v>
      </c>
      <c r="H53" s="247" t="s">
        <v>292</v>
      </c>
      <c r="I53" s="353"/>
      <c r="J53" s="367"/>
      <c r="K53" s="172">
        <f>E34</f>
        <v>0</v>
      </c>
    </row>
    <row r="54" spans="1:15" s="46" customFormat="1" ht="13.8">
      <c r="B54" s="97"/>
      <c r="C54" s="99"/>
      <c r="F54" s="100"/>
      <c r="H54" s="247" t="s">
        <v>293</v>
      </c>
      <c r="I54" s="353"/>
      <c r="J54" s="367"/>
      <c r="K54" s="172">
        <f t="shared" ref="K54:K60" si="5">E35</f>
        <v>0</v>
      </c>
    </row>
    <row r="55" spans="1:15" s="46" customFormat="1" ht="13.8">
      <c r="C55" s="101"/>
      <c r="F55" s="100"/>
      <c r="H55" s="247" t="s">
        <v>294</v>
      </c>
      <c r="I55" s="353"/>
      <c r="J55" s="367"/>
      <c r="K55" s="172">
        <f t="shared" si="5"/>
        <v>0</v>
      </c>
    </row>
    <row r="56" spans="1:15" s="46" customFormat="1" ht="13.8">
      <c r="C56" s="101"/>
      <c r="F56" s="100"/>
      <c r="H56" s="247" t="s">
        <v>295</v>
      </c>
      <c r="I56" s="353"/>
      <c r="J56" s="368"/>
      <c r="K56" s="172">
        <f t="shared" si="5"/>
        <v>0</v>
      </c>
    </row>
    <row r="57" spans="1:15" s="46" customFormat="1" ht="13.8">
      <c r="A57" s="3"/>
      <c r="C57" s="101"/>
      <c r="F57" s="100"/>
      <c r="H57" s="247" t="s">
        <v>296</v>
      </c>
      <c r="I57" s="353"/>
      <c r="J57" s="367"/>
      <c r="K57" s="172">
        <f t="shared" si="5"/>
        <v>0</v>
      </c>
    </row>
    <row r="58" spans="1:15" s="46" customFormat="1" ht="13.8">
      <c r="C58" s="101"/>
      <c r="F58" s="100"/>
      <c r="H58" s="247" t="s">
        <v>297</v>
      </c>
      <c r="I58" s="353"/>
      <c r="J58" s="368"/>
      <c r="K58" s="172">
        <f t="shared" si="5"/>
        <v>0</v>
      </c>
      <c r="M58" s="3"/>
      <c r="N58" s="3"/>
    </row>
    <row r="59" spans="1:15" s="46" customFormat="1" ht="13.8">
      <c r="C59" s="101"/>
      <c r="F59" s="100"/>
      <c r="H59" s="247" t="s">
        <v>298</v>
      </c>
      <c r="I59" s="353"/>
      <c r="J59" s="345"/>
      <c r="K59" s="172">
        <f t="shared" si="5"/>
        <v>0</v>
      </c>
      <c r="M59" s="3"/>
      <c r="N59" s="3"/>
    </row>
    <row r="60" spans="1:15" s="46" customFormat="1" ht="13.8">
      <c r="C60" s="101"/>
      <c r="F60" s="100"/>
      <c r="H60" s="247" t="s">
        <v>299</v>
      </c>
      <c r="I60" s="353"/>
      <c r="J60" s="345"/>
      <c r="K60" s="172">
        <f t="shared" si="5"/>
        <v>0</v>
      </c>
      <c r="M60" s="3"/>
      <c r="N60" s="3"/>
    </row>
    <row r="61" spans="1:15" s="46" customFormat="1" ht="13.8">
      <c r="C61" s="101"/>
      <c r="F61" s="100"/>
      <c r="H61" s="247" t="s">
        <v>301</v>
      </c>
      <c r="I61" s="353"/>
      <c r="J61" s="368"/>
      <c r="K61" s="172">
        <f>E45</f>
        <v>0</v>
      </c>
      <c r="M61" s="3"/>
      <c r="N61" s="3"/>
    </row>
    <row r="62" spans="1:15" s="46" customFormat="1" ht="13.8">
      <c r="C62" s="101"/>
      <c r="F62" s="100"/>
      <c r="H62" s="247"/>
      <c r="I62" s="370"/>
      <c r="J62" s="248"/>
      <c r="K62" s="171"/>
      <c r="M62" s="3"/>
      <c r="N62" s="3"/>
    </row>
    <row r="63" spans="1:15" s="46" customFormat="1" ht="13.8">
      <c r="C63" s="101"/>
      <c r="F63" s="100"/>
      <c r="H63" s="346" t="s">
        <v>303</v>
      </c>
      <c r="I63" s="371"/>
      <c r="J63" s="372"/>
      <c r="K63" s="138" t="e">
        <f>SUM(K45:K62)</f>
        <v>#DIV/0!</v>
      </c>
      <c r="M63" s="3"/>
      <c r="N63" s="3"/>
      <c r="O63" s="3"/>
    </row>
    <row r="64" spans="1:15" s="46" customFormat="1" ht="13.8">
      <c r="C64" s="101"/>
      <c r="F64" s="100"/>
      <c r="H64" s="3"/>
      <c r="I64" s="94"/>
      <c r="J64" s="373"/>
      <c r="K64" s="3"/>
      <c r="M64" s="3"/>
      <c r="N64" s="3"/>
    </row>
    <row r="65" spans="1:15" s="46" customFormat="1" ht="13.8">
      <c r="A65" s="3"/>
      <c r="B65" s="3"/>
      <c r="C65" s="3"/>
      <c r="D65" s="3"/>
      <c r="E65" s="3"/>
      <c r="F65" s="3"/>
      <c r="H65" s="374" t="s">
        <v>304</v>
      </c>
      <c r="I65" s="375"/>
      <c r="J65" s="376"/>
      <c r="K65" s="179" t="e">
        <f>E49</f>
        <v>#DIV/0!</v>
      </c>
      <c r="M65" s="3"/>
      <c r="N65" s="3"/>
    </row>
    <row r="66" spans="1:15" ht="13.8">
      <c r="H66" s="46"/>
      <c r="I66" s="97"/>
      <c r="J66" s="98"/>
      <c r="K66" s="46"/>
      <c r="L66" s="46"/>
      <c r="O66" s="46"/>
    </row>
    <row r="67" spans="1:15" ht="13.8">
      <c r="H67" s="374" t="s">
        <v>305</v>
      </c>
      <c r="I67" s="375"/>
      <c r="J67" s="376"/>
      <c r="K67" s="179" t="e">
        <f>E51</f>
        <v>#DIV/0!</v>
      </c>
      <c r="L67" s="46"/>
      <c r="O67" s="46"/>
    </row>
    <row r="68" spans="1:15" ht="13.8">
      <c r="H68" s="46"/>
      <c r="I68" s="97"/>
      <c r="J68" s="98"/>
      <c r="K68" s="46"/>
      <c r="L68" s="46"/>
      <c r="O68" s="46"/>
    </row>
    <row r="69" spans="1:15" ht="13.8">
      <c r="H69" s="374" t="s">
        <v>306</v>
      </c>
      <c r="I69" s="375"/>
      <c r="J69" s="376"/>
      <c r="K69" s="179" t="e">
        <f>E53</f>
        <v>#DIV/0!</v>
      </c>
      <c r="L69" s="46"/>
      <c r="O69" s="46"/>
    </row>
    <row r="70" spans="1:15">
      <c r="L70" s="46"/>
      <c r="O70" s="46"/>
    </row>
    <row r="71" spans="1:15">
      <c r="O71" s="46"/>
    </row>
    <row r="72" spans="1:15">
      <c r="O72" s="46"/>
    </row>
    <row r="73" spans="1:15">
      <c r="O73" s="46"/>
    </row>
    <row r="74" spans="1:15">
      <c r="O74" s="46"/>
    </row>
    <row r="75" spans="1:15">
      <c r="O75" s="46"/>
    </row>
    <row r="76" spans="1:15">
      <c r="O76" s="46"/>
    </row>
    <row r="77" spans="1:15">
      <c r="O77" s="46"/>
    </row>
    <row r="78" spans="1:15">
      <c r="O78" s="46"/>
    </row>
    <row r="79" spans="1:15">
      <c r="O79" s="46"/>
    </row>
  </sheetData>
  <mergeCells count="7">
    <mergeCell ref="E10:F10"/>
    <mergeCell ref="I10:N10"/>
    <mergeCell ref="I25:N25"/>
    <mergeCell ref="H1:N2"/>
    <mergeCell ref="H3:N3"/>
    <mergeCell ref="H4:N5"/>
    <mergeCell ref="I17:N17"/>
  </mergeCells>
  <conditionalFormatting sqref="O25">
    <cfRule type="cellIs" dxfId="5" priority="1" operator="greaterThan">
      <formula>1</formula>
    </cfRule>
    <cfRule type="cellIs" dxfId="4" priority="2" operator="between">
      <formula>0.999999</formula>
      <formula>0</formula>
    </cfRule>
    <cfRule type="cellIs" dxfId="3"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16"/>
  <sheetViews>
    <sheetView showGridLines="0" tabSelected="1" zoomScaleNormal="100" workbookViewId="0">
      <pane ySplit="10" topLeftCell="A11" activePane="bottomLeft" state="frozen"/>
      <selection activeCell="B1" sqref="B1"/>
      <selection pane="bottomLeft" activeCell="E24" sqref="E24"/>
    </sheetView>
  </sheetViews>
  <sheetFormatPr defaultColWidth="9.109375" defaultRowHeight="13.2"/>
  <cols>
    <col min="1" max="1" width="26.109375" style="3" bestFit="1" customWidth="1"/>
    <col min="2" max="2" width="44.44140625" style="3" bestFit="1" customWidth="1"/>
    <col min="3" max="3" width="12.88671875" style="3" customWidth="1"/>
    <col min="4" max="4" width="11.109375" style="3" customWidth="1"/>
    <col min="5" max="5" width="15.33203125" style="3" customWidth="1"/>
    <col min="6" max="6" width="12.88671875" style="3" customWidth="1"/>
    <col min="7" max="7" width="12.109375" style="3" bestFit="1" customWidth="1"/>
    <col min="8" max="8" width="13.33203125" style="3" bestFit="1" customWidth="1"/>
    <col min="9" max="9" width="19.88671875" style="3" customWidth="1"/>
    <col min="10" max="16384" width="9.109375" style="3"/>
  </cols>
  <sheetData>
    <row r="1" spans="1:9">
      <c r="A1" s="382" t="s">
        <v>4</v>
      </c>
      <c r="D1" s="192" t="s">
        <v>309</v>
      </c>
      <c r="E1" s="195"/>
      <c r="F1" s="195"/>
      <c r="G1" s="193"/>
      <c r="H1" s="191" t="s">
        <v>310</v>
      </c>
    </row>
    <row r="2" spans="1:9">
      <c r="D2" s="194" t="s">
        <v>311</v>
      </c>
      <c r="E2" s="197"/>
      <c r="F2" s="197"/>
      <c r="G2" s="198"/>
      <c r="H2" s="196">
        <v>0</v>
      </c>
    </row>
    <row r="3" spans="1:9" ht="15">
      <c r="A3" s="216" t="str">
        <f>'2-Kosten per locatie'!A3</f>
        <v>Naam opdrachtgever</v>
      </c>
      <c r="B3" s="15" t="str">
        <f>'2-Kosten per locatie'!B3</f>
        <v>Basis calculatiemodel</v>
      </c>
      <c r="D3" s="194" t="s">
        <v>312</v>
      </c>
      <c r="E3" s="197"/>
      <c r="F3" s="197"/>
      <c r="G3" s="198"/>
      <c r="H3" s="196">
        <v>0</v>
      </c>
    </row>
    <row r="4" spans="1:9" ht="15">
      <c r="A4" s="216" t="str">
        <f>'2-Kosten per locatie'!A4</f>
        <v>Calculatie onderdeel</v>
      </c>
      <c r="B4" s="33" t="str">
        <f ca="1">MID(CELL("bestandsnaam",$C$9),SEARCH("]",CELL("bestandsnaam",$C$9),1)+1,256)</f>
        <v>8-Additionele kosten</v>
      </c>
      <c r="D4" s="194" t="s">
        <v>313</v>
      </c>
      <c r="E4" s="197"/>
      <c r="F4" s="197"/>
      <c r="G4" s="198"/>
      <c r="H4" s="196">
        <v>0</v>
      </c>
    </row>
    <row r="5" spans="1:9" ht="15">
      <c r="A5" s="216" t="str">
        <f>'2-Kosten per locatie'!A5</f>
        <v>Gebouw/plaats</v>
      </c>
      <c r="B5" s="15" t="str">
        <f>'2-Kosten per locatie'!B5</f>
        <v>Sliedrecht</v>
      </c>
      <c r="D5" s="194" t="s">
        <v>314</v>
      </c>
      <c r="E5" s="197"/>
      <c r="F5" s="197"/>
      <c r="G5" s="198"/>
      <c r="H5" s="196">
        <v>0</v>
      </c>
    </row>
    <row r="6" spans="1:9" ht="15">
      <c r="A6" s="216" t="str">
        <f>'2-Kosten per locatie'!A6</f>
        <v>Referentie nummer</v>
      </c>
      <c r="B6" s="15" t="str">
        <f>'2-Kosten per locatie'!B6</f>
        <v>GS-EA-MVD-SW-2023</v>
      </c>
      <c r="D6" s="194" t="s">
        <v>314</v>
      </c>
      <c r="E6" s="197"/>
      <c r="F6" s="197"/>
      <c r="G6" s="198"/>
      <c r="H6" s="196">
        <v>0</v>
      </c>
    </row>
    <row r="7" spans="1:9" ht="15" customHeight="1">
      <c r="A7" s="216" t="str">
        <f>'2-Kosten per locatie'!A7</f>
        <v>Naam dienstverlener</v>
      </c>
      <c r="B7" s="15" t="str">
        <f>'2-Kosten per locatie'!B7</f>
        <v>Gemeente Sliedrecht</v>
      </c>
      <c r="D7" s="194" t="s">
        <v>314</v>
      </c>
      <c r="E7" s="197"/>
      <c r="F7" s="197"/>
      <c r="G7" s="198"/>
      <c r="H7" s="196">
        <v>0</v>
      </c>
      <c r="I7" s="108"/>
    </row>
    <row r="8" spans="1:9" ht="15">
      <c r="A8" s="216" t="str">
        <f>'2-Kosten per locatie'!A8</f>
        <v>Prijspeil</v>
      </c>
      <c r="B8" s="241">
        <f>'2-Kosten per locatie'!B8</f>
        <v>45474</v>
      </c>
      <c r="D8" s="194" t="s">
        <v>314</v>
      </c>
      <c r="E8" s="197"/>
      <c r="F8" s="197"/>
      <c r="G8" s="198"/>
      <c r="H8" s="196">
        <v>0</v>
      </c>
      <c r="I8" s="108"/>
    </row>
    <row r="10" spans="1:9" ht="25.2">
      <c r="A10" s="383" t="s">
        <v>23</v>
      </c>
      <c r="B10" s="383" t="s">
        <v>315</v>
      </c>
      <c r="C10" s="383" t="s">
        <v>316</v>
      </c>
      <c r="D10" s="383" t="s">
        <v>317</v>
      </c>
      <c r="E10" s="383" t="s">
        <v>318</v>
      </c>
      <c r="F10" s="383" t="s">
        <v>319</v>
      </c>
      <c r="G10" s="383" t="s">
        <v>320</v>
      </c>
      <c r="H10" s="383" t="s">
        <v>321</v>
      </c>
    </row>
    <row r="11" spans="1:9">
      <c r="A11" s="249" t="s">
        <v>35</v>
      </c>
      <c r="B11" s="237" t="s">
        <v>390</v>
      </c>
      <c r="C11" s="384">
        <v>1508.05</v>
      </c>
      <c r="D11" s="384">
        <v>1</v>
      </c>
      <c r="E11" s="218"/>
      <c r="F11" s="385">
        <f>E11*D11</f>
        <v>0</v>
      </c>
      <c r="G11" s="386">
        <f>H2</f>
        <v>0</v>
      </c>
      <c r="H11" s="222">
        <f>G11*F11</f>
        <v>0</v>
      </c>
    </row>
    <row r="12" spans="1:9">
      <c r="A12" s="249" t="s">
        <v>394</v>
      </c>
      <c r="B12" s="237" t="s">
        <v>390</v>
      </c>
      <c r="C12" s="384">
        <v>416.6</v>
      </c>
      <c r="D12" s="384">
        <v>1</v>
      </c>
      <c r="E12" s="218"/>
      <c r="F12" s="385">
        <f t="shared" ref="F12" si="0">E12*D12</f>
        <v>0</v>
      </c>
      <c r="G12" s="386">
        <f>H2</f>
        <v>0</v>
      </c>
      <c r="H12" s="222">
        <f t="shared" ref="H12" si="1">G12*F12</f>
        <v>0</v>
      </c>
    </row>
    <row r="13" spans="1:9">
      <c r="A13" s="249" t="s">
        <v>32</v>
      </c>
      <c r="B13" s="237" t="s">
        <v>438</v>
      </c>
      <c r="C13" s="384"/>
      <c r="D13" s="384">
        <v>55</v>
      </c>
      <c r="E13" s="218"/>
      <c r="F13" s="385">
        <f t="shared" ref="F13:F14" si="2">E13*D13</f>
        <v>0</v>
      </c>
      <c r="G13" s="386">
        <f>H2</f>
        <v>0</v>
      </c>
      <c r="H13" s="222">
        <f t="shared" ref="H13:H14" si="3">G13*F13</f>
        <v>0</v>
      </c>
    </row>
    <row r="14" spans="1:9">
      <c r="A14" s="249" t="s">
        <v>33</v>
      </c>
      <c r="B14" s="237" t="s">
        <v>438</v>
      </c>
      <c r="C14" s="384"/>
      <c r="D14" s="384">
        <v>55</v>
      </c>
      <c r="E14" s="218"/>
      <c r="F14" s="385">
        <f t="shared" si="2"/>
        <v>0</v>
      </c>
      <c r="G14" s="386">
        <f>H2</f>
        <v>0</v>
      </c>
      <c r="H14" s="222">
        <f t="shared" si="3"/>
        <v>0</v>
      </c>
    </row>
    <row r="16" spans="1:9" s="40" customFormat="1" ht="12.6">
      <c r="A16" s="309" t="s">
        <v>39</v>
      </c>
      <c r="B16" s="321"/>
      <c r="C16" s="321"/>
      <c r="D16" s="321"/>
      <c r="E16" s="321"/>
      <c r="F16" s="387">
        <f>SUM(F11:F12)</f>
        <v>0</v>
      </c>
      <c r="G16" s="321"/>
      <c r="H16" s="154">
        <f>SUM(H11:H15)</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53"/>
  <sheetViews>
    <sheetView showGridLines="0" showZeros="0" zoomScale="96" zoomScaleNormal="96" zoomScaleSheetLayoutView="75" zoomScalePageLayoutView="50" workbookViewId="0">
      <pane ySplit="10" topLeftCell="A11" activePane="bottomLeft" state="frozen"/>
      <selection activeCell="B1" sqref="B1"/>
      <selection pane="bottomLeft" activeCell="A38" sqref="A38:XFD45"/>
    </sheetView>
  </sheetViews>
  <sheetFormatPr defaultColWidth="11.44140625" defaultRowHeight="13.2"/>
  <cols>
    <col min="1" max="1" width="39" style="3" customWidth="1"/>
    <col min="2" max="2" width="20.33203125" style="3" customWidth="1"/>
    <col min="3" max="6" width="17.5546875" style="3" customWidth="1"/>
    <col min="7" max="16384" width="11.44140625" style="3"/>
  </cols>
  <sheetData>
    <row r="1" spans="1:6" ht="13.8">
      <c r="A1" s="382" t="s">
        <v>4</v>
      </c>
      <c r="B1" s="109"/>
      <c r="C1" s="109"/>
      <c r="D1" s="110"/>
    </row>
    <row r="3" spans="1:6" ht="15.6">
      <c r="A3" s="24" t="str">
        <f>'2-Kosten per locatie'!A3</f>
        <v>Naam opdrachtgever</v>
      </c>
      <c r="B3" s="33" t="str">
        <f>'2-Kosten per locatie'!B3</f>
        <v>Basis calculatiemodel</v>
      </c>
      <c r="C3" s="111"/>
      <c r="D3" s="111"/>
    </row>
    <row r="4" spans="1:6" ht="15">
      <c r="A4" s="24" t="str">
        <f>'2-Kosten per locatie'!A4</f>
        <v>Calculatie onderdeel</v>
      </c>
      <c r="B4" s="33" t="str">
        <f ca="1">MID(CELL("bestandsnaam",$C$9),SEARCH("]",CELL("bestandsnaam",$C$9),1)+1,256)</f>
        <v>9-Afroepprijs</v>
      </c>
      <c r="C4" s="112"/>
      <c r="D4" s="113"/>
    </row>
    <row r="5" spans="1:6" ht="15">
      <c r="A5" s="24" t="str">
        <f>'2-Kosten per locatie'!A5</f>
        <v>Gebouw/plaats</v>
      </c>
      <c r="B5" s="33" t="str">
        <f>'2-Kosten per locatie'!B5</f>
        <v>Sliedrecht</v>
      </c>
      <c r="C5" s="112"/>
      <c r="D5" s="113"/>
    </row>
    <row r="6" spans="1:6" ht="15">
      <c r="A6" s="24" t="str">
        <f>'2-Kosten per locatie'!A6</f>
        <v>Referentie nummer</v>
      </c>
      <c r="B6" s="33" t="str">
        <f>'2-Kosten per locatie'!B6</f>
        <v>GS-EA-MVD-SW-2023</v>
      </c>
      <c r="C6" s="112"/>
      <c r="D6" s="113"/>
    </row>
    <row r="7" spans="1:6" ht="15">
      <c r="A7" s="24" t="str">
        <f>'2-Kosten per locatie'!A7</f>
        <v>Naam dienstverlener</v>
      </c>
      <c r="B7" s="33" t="str">
        <f>'2-Kosten per locatie'!B7</f>
        <v>Gemeente Sliedrecht</v>
      </c>
      <c r="C7" s="112"/>
      <c r="D7" s="113"/>
    </row>
    <row r="8" spans="1:6" ht="15">
      <c r="A8" s="24" t="str">
        <f>'2-Kosten per locatie'!A8</f>
        <v>Prijspeil</v>
      </c>
      <c r="B8" s="242">
        <f>'2-Kosten per locatie'!B8</f>
        <v>45474</v>
      </c>
      <c r="C8" s="112"/>
      <c r="D8" s="113"/>
    </row>
    <row r="9" spans="1:6" ht="15">
      <c r="A9" s="18"/>
      <c r="B9" s="114"/>
      <c r="C9" s="112"/>
      <c r="D9" s="113"/>
    </row>
    <row r="10" spans="1:6">
      <c r="A10" s="115"/>
      <c r="B10" s="116"/>
      <c r="C10" s="116"/>
      <c r="D10" s="116"/>
    </row>
    <row r="11" spans="1:6" ht="15">
      <c r="A11" s="388" t="s">
        <v>322</v>
      </c>
      <c r="B11" s="389"/>
      <c r="C11" s="389"/>
      <c r="D11" s="390"/>
      <c r="E11" s="390"/>
      <c r="F11" s="391"/>
    </row>
    <row r="13" spans="1:6">
      <c r="A13" s="392"/>
      <c r="B13" s="393"/>
      <c r="C13" s="465" t="s">
        <v>323</v>
      </c>
      <c r="D13" s="466"/>
      <c r="E13" s="466"/>
      <c r="F13" s="467"/>
    </row>
    <row r="14" spans="1:6">
      <c r="A14" s="394" t="s">
        <v>324</v>
      </c>
      <c r="B14" s="394" t="s">
        <v>325</v>
      </c>
      <c r="C14" s="395" t="s">
        <v>326</v>
      </c>
      <c r="D14" s="384" t="s">
        <v>327</v>
      </c>
      <c r="E14" s="384" t="s">
        <v>328</v>
      </c>
      <c r="F14" s="384" t="s">
        <v>329</v>
      </c>
    </row>
    <row r="15" spans="1:6" ht="13.8">
      <c r="A15" s="396" t="s">
        <v>330</v>
      </c>
      <c r="B15" s="396" t="s">
        <v>331</v>
      </c>
      <c r="C15" s="397">
        <v>0</v>
      </c>
      <c r="D15" s="397">
        <v>0</v>
      </c>
      <c r="E15" s="397">
        <v>0</v>
      </c>
      <c r="F15" s="397">
        <v>0</v>
      </c>
    </row>
    <row r="16" spans="1:6" ht="13.8">
      <c r="A16" s="396" t="s">
        <v>332</v>
      </c>
      <c r="B16" s="396" t="s">
        <v>331</v>
      </c>
      <c r="C16" s="397">
        <v>0</v>
      </c>
      <c r="D16" s="397">
        <v>0</v>
      </c>
      <c r="E16" s="397">
        <v>0</v>
      </c>
      <c r="F16" s="397">
        <v>0</v>
      </c>
    </row>
    <row r="17" spans="1:6" ht="13.8">
      <c r="A17" s="396" t="s">
        <v>333</v>
      </c>
      <c r="B17" s="396" t="s">
        <v>334</v>
      </c>
      <c r="C17" s="397">
        <v>0</v>
      </c>
      <c r="D17" s="397">
        <v>0</v>
      </c>
      <c r="E17" s="397">
        <v>0</v>
      </c>
      <c r="F17" s="397">
        <v>0</v>
      </c>
    </row>
    <row r="18" spans="1:6" ht="13.8">
      <c r="A18" s="394" t="s">
        <v>335</v>
      </c>
      <c r="B18" s="398"/>
      <c r="C18" s="397">
        <v>0</v>
      </c>
      <c r="D18" s="397">
        <v>0</v>
      </c>
      <c r="E18" s="397">
        <v>0</v>
      </c>
      <c r="F18" s="397">
        <v>0</v>
      </c>
    </row>
    <row r="19" spans="1:6" ht="13.8">
      <c r="A19" s="394" t="s">
        <v>336</v>
      </c>
      <c r="B19" s="398"/>
      <c r="C19" s="397">
        <v>0</v>
      </c>
      <c r="D19" s="397">
        <v>0</v>
      </c>
      <c r="E19" s="397">
        <v>0</v>
      </c>
      <c r="F19" s="397">
        <v>0</v>
      </c>
    </row>
    <row r="20" spans="1:6" ht="13.8">
      <c r="A20" s="117"/>
      <c r="B20" s="117"/>
      <c r="C20" s="117"/>
      <c r="D20" s="109"/>
    </row>
    <row r="21" spans="1:6" ht="15">
      <c r="A21" s="388" t="s">
        <v>337</v>
      </c>
      <c r="B21" s="389"/>
      <c r="C21" s="389"/>
      <c r="D21" s="389"/>
      <c r="E21" s="389"/>
      <c r="F21" s="399"/>
    </row>
    <row r="22" spans="1:6" ht="13.8">
      <c r="A22" s="120"/>
      <c r="B22" s="117"/>
      <c r="C22" s="117"/>
      <c r="D22" s="109"/>
      <c r="E22" s="465" t="s">
        <v>338</v>
      </c>
      <c r="F22" s="467"/>
    </row>
    <row r="23" spans="1:6">
      <c r="A23" s="394" t="s">
        <v>339</v>
      </c>
      <c r="B23" s="400" t="s">
        <v>325</v>
      </c>
      <c r="C23" s="401"/>
      <c r="D23" s="402"/>
      <c r="E23" s="395" t="s">
        <v>340</v>
      </c>
      <c r="F23" s="395" t="s">
        <v>341</v>
      </c>
    </row>
    <row r="24" spans="1:6" ht="13.8">
      <c r="A24" s="396" t="s">
        <v>342</v>
      </c>
      <c r="B24" s="398" t="s">
        <v>343</v>
      </c>
      <c r="C24" s="143"/>
      <c r="D24" s="143"/>
      <c r="E24" s="397">
        <v>0</v>
      </c>
      <c r="F24" s="397">
        <v>0</v>
      </c>
    </row>
    <row r="25" spans="1:6" ht="13.8">
      <c r="A25" s="396" t="s">
        <v>344</v>
      </c>
      <c r="B25" s="398" t="s">
        <v>343</v>
      </c>
      <c r="C25" s="403"/>
      <c r="D25" s="403"/>
      <c r="E25" s="397">
        <v>0</v>
      </c>
      <c r="F25" s="397">
        <v>0</v>
      </c>
    </row>
    <row r="26" spans="1:6" ht="13.8">
      <c r="A26" s="396" t="s">
        <v>345</v>
      </c>
      <c r="B26" s="398" t="s">
        <v>343</v>
      </c>
      <c r="C26" s="403"/>
      <c r="D26" s="403"/>
      <c r="E26" s="397">
        <v>0</v>
      </c>
      <c r="F26" s="397">
        <v>0</v>
      </c>
    </row>
    <row r="27" spans="1:6" ht="13.8">
      <c r="A27" s="396" t="s">
        <v>346</v>
      </c>
      <c r="B27" s="398" t="s">
        <v>343</v>
      </c>
      <c r="C27" s="404"/>
      <c r="D27" s="403"/>
      <c r="E27" s="397">
        <v>0</v>
      </c>
      <c r="F27" s="397">
        <v>0</v>
      </c>
    </row>
    <row r="28" spans="1:6" ht="13.8">
      <c r="A28" s="396" t="s">
        <v>347</v>
      </c>
      <c r="B28" s="398" t="s">
        <v>343</v>
      </c>
      <c r="C28" s="404"/>
      <c r="D28" s="403"/>
      <c r="E28" s="397">
        <v>0</v>
      </c>
      <c r="F28" s="397">
        <v>0</v>
      </c>
    </row>
    <row r="30" spans="1:6" ht="15">
      <c r="A30" s="388" t="s">
        <v>348</v>
      </c>
      <c r="B30" s="389"/>
      <c r="C30" s="389"/>
      <c r="D30" s="389"/>
      <c r="E30" s="389"/>
      <c r="F30" s="399"/>
    </row>
    <row r="31" spans="1:6" ht="13.8">
      <c r="A31" s="120"/>
      <c r="B31" s="117"/>
      <c r="C31" s="117"/>
      <c r="D31" s="109"/>
    </row>
    <row r="32" spans="1:6">
      <c r="A32" s="394" t="s">
        <v>324</v>
      </c>
      <c r="B32" s="392" t="s">
        <v>325</v>
      </c>
      <c r="C32" s="405"/>
      <c r="D32" s="405"/>
      <c r="E32" s="405"/>
      <c r="F32" s="406" t="s">
        <v>349</v>
      </c>
    </row>
    <row r="33" spans="1:6" ht="13.8">
      <c r="A33" s="396" t="s">
        <v>350</v>
      </c>
      <c r="B33" s="118" t="s">
        <v>311</v>
      </c>
      <c r="C33" s="118"/>
      <c r="D33" s="118"/>
      <c r="E33" s="118"/>
      <c r="F33" s="397">
        <v>0</v>
      </c>
    </row>
    <row r="34" spans="1:6" ht="13.8">
      <c r="A34" s="396" t="s">
        <v>350</v>
      </c>
      <c r="B34" s="118" t="s">
        <v>312</v>
      </c>
      <c r="C34" s="118"/>
      <c r="D34" s="118"/>
      <c r="E34" s="118"/>
      <c r="F34" s="397">
        <v>0</v>
      </c>
    </row>
    <row r="35" spans="1:6" ht="13.8">
      <c r="A35" s="396" t="s">
        <v>350</v>
      </c>
      <c r="B35" s="118" t="s">
        <v>313</v>
      </c>
      <c r="C35" s="118"/>
      <c r="D35" s="118"/>
      <c r="E35" s="118"/>
      <c r="F35" s="397">
        <v>0</v>
      </c>
    </row>
    <row r="36" spans="1:6" ht="13.8">
      <c r="A36" s="396" t="s">
        <v>351</v>
      </c>
      <c r="B36" s="118" t="s">
        <v>311</v>
      </c>
      <c r="C36" s="118"/>
      <c r="D36" s="118"/>
      <c r="E36" s="118"/>
      <c r="F36" s="397">
        <v>0</v>
      </c>
    </row>
    <row r="37" spans="1:6" ht="13.8">
      <c r="A37" s="117"/>
      <c r="B37" s="109"/>
      <c r="C37" s="109"/>
      <c r="D37" s="117"/>
    </row>
    <row r="38" spans="1:6" s="16" customFormat="1" ht="15">
      <c r="A38" s="407" t="s">
        <v>352</v>
      </c>
      <c r="B38" s="399"/>
    </row>
    <row r="39" spans="1:6" s="16" customFormat="1">
      <c r="A39" s="394" t="s">
        <v>353</v>
      </c>
      <c r="B39" s="408" t="s">
        <v>349</v>
      </c>
    </row>
    <row r="40" spans="1:6" s="16" customFormat="1" ht="13.8">
      <c r="A40" s="396" t="s">
        <v>354</v>
      </c>
      <c r="B40" s="397">
        <v>0</v>
      </c>
    </row>
    <row r="41" spans="1:6" s="16" customFormat="1" ht="13.8">
      <c r="A41" s="396" t="s">
        <v>355</v>
      </c>
      <c r="B41" s="397">
        <v>0</v>
      </c>
    </row>
    <row r="42" spans="1:6" s="16" customFormat="1">
      <c r="A42" s="117"/>
      <c r="B42" s="117"/>
    </row>
    <row r="43" spans="1:6" ht="15">
      <c r="A43" s="121" t="s">
        <v>356</v>
      </c>
      <c r="B43" s="109"/>
      <c r="C43" s="109"/>
      <c r="D43" s="117"/>
    </row>
    <row r="44" spans="1:6">
      <c r="A44" s="117" t="s">
        <v>357</v>
      </c>
    </row>
    <row r="45" spans="1:6" ht="13.8">
      <c r="A45" s="117" t="s">
        <v>358</v>
      </c>
      <c r="B45" s="109"/>
      <c r="C45" s="109"/>
      <c r="D45" s="117"/>
    </row>
    <row r="46" spans="1:6" ht="12.75" customHeight="1">
      <c r="A46" s="117"/>
      <c r="B46" s="109"/>
      <c r="C46" s="109"/>
      <c r="D46" s="117"/>
    </row>
    <row r="47" spans="1:6" ht="13.8">
      <c r="A47" s="117"/>
      <c r="B47" s="109"/>
      <c r="C47" s="109"/>
      <c r="D47" s="117"/>
    </row>
    <row r="48" spans="1:6" ht="13.8">
      <c r="A48" s="117"/>
      <c r="B48" s="109"/>
      <c r="C48" s="109"/>
      <c r="D48" s="117"/>
    </row>
    <row r="50" spans="1:4" ht="13.8">
      <c r="A50" s="119"/>
      <c r="B50" s="109"/>
      <c r="C50" s="109"/>
      <c r="D50" s="109"/>
    </row>
    <row r="51" spans="1:4">
      <c r="A51" s="119"/>
    </row>
    <row r="52" spans="1:4">
      <c r="A52" s="119"/>
    </row>
    <row r="53" spans="1:4">
      <c r="A53" s="119"/>
    </row>
  </sheetData>
  <mergeCells count="2">
    <mergeCell ref="C13:F13"/>
    <mergeCell ref="E22:F22"/>
  </mergeCells>
  <phoneticPr fontId="12"/>
  <conditionalFormatting sqref="B40:B41">
    <cfRule type="cellIs" dxfId="2" priority="1" stopIfTrue="1" operator="equal">
      <formula>"nvt"</formula>
    </cfRule>
  </conditionalFormatting>
  <conditionalFormatting sqref="E24:F28">
    <cfRule type="cellIs" dxfId="1" priority="3" stopIfTrue="1" operator="equal">
      <formula>"nvt"</formula>
    </cfRule>
  </conditionalFormatting>
  <conditionalFormatting sqref="F33:F36">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6" ma:contentTypeDescription="Een nieuw document maken." ma:contentTypeScope="" ma:versionID="b5d3076c709f49fc47cb914b2d7754dd">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564dbe3c1b8ef1f6a09edebfb26d7a2c"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documentManagement>
</p:properties>
</file>

<file path=customXml/itemProps1.xml><?xml version="1.0" encoding="utf-8"?>
<ds:datastoreItem xmlns:ds="http://schemas.openxmlformats.org/officeDocument/2006/customXml" ds:itemID="{F77FAF85-5FB4-48C9-B0B5-3D750FFA38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4F8749-688D-4009-A26F-4336E0334067}">
  <ds:schemaRefs>
    <ds:schemaRef ds:uri="http://schemas.microsoft.com/sharepoint/v3/contenttype/forms"/>
  </ds:schemaRefs>
</ds:datastoreItem>
</file>

<file path=customXml/itemProps3.xml><?xml version="1.0" encoding="utf-8"?>
<ds:datastoreItem xmlns:ds="http://schemas.openxmlformats.org/officeDocument/2006/customXml" ds:itemID="{928D503D-0238-413F-AC37-E9E8EAFD750E}">
  <ds:schemaRefs>
    <ds:schemaRef ds:uri="http://schemas.openxmlformats.org/package/2006/metadata/core-properties"/>
    <ds:schemaRef ds:uri="http://purl.org/dc/terms/"/>
    <ds:schemaRef ds:uri="http://purl.org/dc/dcmitype/"/>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a348180a-6b61-4e0b-a022-ee140d7d6709"/>
    <ds:schemaRef ds:uri="http://purl.org/dc/elements/1.1/"/>
    <ds:schemaRef ds:uri="2bdcc3f3-49a5-47c4-ae00-3e6a3f4b5f23"/>
    <ds:schemaRef ds:uri="96af1940-cf19-4b50-92f4-053594182c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11</vt:i4>
      </vt:variant>
      <vt:variant>
        <vt:lpstr>Benoemde bereiken</vt:lpstr>
      </vt:variant>
      <vt:variant>
        <vt:i4>17</vt:i4>
      </vt:variant>
    </vt:vector>
  </HeadingPairs>
  <TitlesOfParts>
    <vt:vector size="28"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11-Vloeronderhoud</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'11-Vloeronderhoud'!Afdruktitels</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Margriet van Dijken</cp:lastModifiedBy>
  <cp:revision/>
  <dcterms:created xsi:type="dcterms:W3CDTF">1999-10-05T12:28:40Z</dcterms:created>
  <dcterms:modified xsi:type="dcterms:W3CDTF">2023-11-16T08:51:11Z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0x010100D04ED61BC76A194A982917B982E444AB</vt:lpwstr>
  </property>
  <property fmtid="{D5CDD505-2E9C-101B-9397-08002B2CF9AE}" pid="3" name="MediaServiceImageTags">
    <vt:lpwstr/>
  </property>
</Properties>
</file>